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3" activeTab="22"/>
  </bookViews>
  <sheets>
    <sheet name="01.04.11" sheetId="1" r:id="rId1"/>
    <sheet name="01.06.11" sheetId="2" r:id="rId2"/>
    <sheet name="01.06.12" sheetId="3" r:id="rId3"/>
    <sheet name="01.01.13" sheetId="4" r:id="rId4"/>
    <sheet name="01.06.13" sheetId="5" r:id="rId5"/>
    <sheet name="01.01.14" sheetId="6" r:id="rId6"/>
    <sheet name="01.06.14" sheetId="7" r:id="rId7"/>
    <sheet name="01.01.15" sheetId="8" r:id="rId8"/>
    <sheet name="01.06.15" sheetId="9" r:id="rId9"/>
    <sheet name="01.01.16" sheetId="10" r:id="rId10"/>
    <sheet name="12.10.16" sheetId="11" r:id="rId11"/>
    <sheet name="01.01.17" sheetId="12" r:id="rId12"/>
    <sheet name="01.06.17" sheetId="13" r:id="rId13"/>
    <sheet name="01.01.18" sheetId="14" r:id="rId14"/>
    <sheet name="01.06.18" sheetId="15" r:id="rId15"/>
    <sheet name="01.01.19" sheetId="16" r:id="rId16"/>
    <sheet name="01.06.19" sheetId="17" r:id="rId17"/>
    <sheet name="01.01.20" sheetId="18" r:id="rId18"/>
    <sheet name="01.06.20" sheetId="19" r:id="rId19"/>
    <sheet name="01.01.21" sheetId="20" r:id="rId20"/>
    <sheet name="01.06.21" sheetId="21" r:id="rId21"/>
    <sheet name="01.01.22" sheetId="22" r:id="rId22"/>
    <sheet name="01.06.22" sheetId="23" r:id="rId23"/>
  </sheets>
  <definedNames/>
  <calcPr fullCalcOnLoad="1"/>
</workbook>
</file>

<file path=xl/comments10.xml><?xml version="1.0" encoding="utf-8"?>
<comments xmlns="http://schemas.openxmlformats.org/spreadsheetml/2006/main">
  <authors>
    <author>Erle P. Halliburton</author>
    <author>hbbz606</author>
  </authors>
  <commentList>
    <comment ref="A10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  <comment ref="A17" authorId="1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18" authorId="1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</commentList>
</comments>
</file>

<file path=xl/comments11.xml><?xml version="1.0" encoding="utf-8"?>
<comments xmlns="http://schemas.openxmlformats.org/spreadsheetml/2006/main">
  <authors>
    <author>Erle P. Halliburton</author>
    <author>hbbz606</author>
  </authors>
  <commentList>
    <comment ref="A10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  <comment ref="A17" authorId="1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18" authorId="1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</commentList>
</comments>
</file>

<file path=xl/comments12.xml><?xml version="1.0" encoding="utf-8"?>
<comments xmlns="http://schemas.openxmlformats.org/spreadsheetml/2006/main">
  <authors>
    <author>Erle P. Halliburton</author>
    <author>hbbz606</author>
  </authors>
  <commentList>
    <comment ref="A10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  <comment ref="A17" authorId="1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18" authorId="1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</commentList>
</comments>
</file>

<file path=xl/comments13.xml><?xml version="1.0" encoding="utf-8"?>
<comments xmlns="http://schemas.openxmlformats.org/spreadsheetml/2006/main">
  <authors>
    <author>Erle P. Halliburton</author>
    <author>hbbz606</author>
  </authors>
  <commentList>
    <comment ref="A10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  <comment ref="A17" authorId="1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18" authorId="1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</commentList>
</comments>
</file>

<file path=xl/comments14.xml><?xml version="1.0" encoding="utf-8"?>
<comments xmlns="http://schemas.openxmlformats.org/spreadsheetml/2006/main">
  <authors>
    <author>Erle P. Halliburton</author>
    <author>hbbz606</author>
  </authors>
  <commentList>
    <comment ref="A10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  <comment ref="A18" authorId="1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19" authorId="1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  <comment ref="A11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1.1.18
</t>
        </r>
      </text>
    </comment>
  </commentList>
</comments>
</file>

<file path=xl/comments15.xml><?xml version="1.0" encoding="utf-8"?>
<comments xmlns="http://schemas.openxmlformats.org/spreadsheetml/2006/main">
  <authors>
    <author>Erle P. Halliburton</author>
    <author>hbbz606</author>
  </authors>
  <commentList>
    <comment ref="A10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  <comment ref="A11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1.1.18
</t>
        </r>
      </text>
    </comment>
    <comment ref="A18" authorId="1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19" authorId="1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</commentList>
</comments>
</file>

<file path=xl/comments3.xml><?xml version="1.0" encoding="utf-8"?>
<comments xmlns="http://schemas.openxmlformats.org/spreadsheetml/2006/main">
  <authors>
    <author>hbbz606</author>
    <author>Erle P. Halliburton</author>
  </authors>
  <commentList>
    <comment ref="A23" authorId="0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24" authorId="0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  <comment ref="A13" authorId="1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</commentList>
</comments>
</file>

<file path=xl/comments4.xml><?xml version="1.0" encoding="utf-8"?>
<comments xmlns="http://schemas.openxmlformats.org/spreadsheetml/2006/main">
  <authors>
    <author>Erle P. Halliburton</author>
    <author>hbbz606</author>
  </authors>
  <commentList>
    <comment ref="A12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  <comment ref="A21" authorId="1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22" authorId="1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</commentList>
</comments>
</file>

<file path=xl/comments5.xml><?xml version="1.0" encoding="utf-8"?>
<comments xmlns="http://schemas.openxmlformats.org/spreadsheetml/2006/main">
  <authors>
    <author>Erle P. Halliburton</author>
    <author>hbbz606</author>
  </authors>
  <commentList>
    <comment ref="A12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  <comment ref="A21" authorId="1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22" authorId="1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</commentList>
</comments>
</file>

<file path=xl/comments6.xml><?xml version="1.0" encoding="utf-8"?>
<comments xmlns="http://schemas.openxmlformats.org/spreadsheetml/2006/main">
  <authors>
    <author>Erle P. Halliburton</author>
    <author>hbbz606</author>
  </authors>
  <commentList>
    <comment ref="A11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  <comment ref="A19" authorId="1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20" authorId="1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</commentList>
</comments>
</file>

<file path=xl/comments7.xml><?xml version="1.0" encoding="utf-8"?>
<comments xmlns="http://schemas.openxmlformats.org/spreadsheetml/2006/main">
  <authors>
    <author>Erle P. Halliburton</author>
    <author>hbbz606</author>
  </authors>
  <commentList>
    <comment ref="A11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  <comment ref="A19" authorId="1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20" authorId="1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</commentList>
</comments>
</file>

<file path=xl/comments8.xml><?xml version="1.0" encoding="utf-8"?>
<comments xmlns="http://schemas.openxmlformats.org/spreadsheetml/2006/main">
  <authors>
    <author>Erle P. Halliburton</author>
    <author>hbbz606</author>
  </authors>
  <commentList>
    <comment ref="A11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  <comment ref="A19" authorId="1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20" authorId="1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</commentList>
</comments>
</file>

<file path=xl/comments9.xml><?xml version="1.0" encoding="utf-8"?>
<comments xmlns="http://schemas.openxmlformats.org/spreadsheetml/2006/main">
  <authors>
    <author>Erle P. Halliburton</author>
    <author>hbbz606</author>
  </authors>
  <commentList>
    <comment ref="A11" authorId="0">
      <text>
        <r>
          <rPr>
            <b/>
            <sz val="9"/>
            <rFont val="Tahoma"/>
            <family val="2"/>
          </rPr>
          <t>bbrln15:</t>
        </r>
        <r>
          <rPr>
            <sz val="9"/>
            <rFont val="Tahoma"/>
            <family val="2"/>
          </rPr>
          <t xml:space="preserve">
Iverksettes fra 1.6.12</t>
        </r>
      </text>
    </comment>
    <comment ref="A19" authorId="1">
      <text>
        <r>
          <rPr>
            <b/>
            <sz val="8"/>
            <rFont val="Tahoma"/>
            <family val="2"/>
          </rPr>
          <t>hbbz606:</t>
        </r>
        <r>
          <rPr>
            <sz val="8"/>
            <rFont val="Tahoma"/>
            <family val="2"/>
          </rPr>
          <t xml:space="preserve">
Iverksettes fra 1.1.10</t>
        </r>
      </text>
    </comment>
    <comment ref="A20" authorId="1">
      <text>
        <r>
          <rPr>
            <b/>
            <sz val="8"/>
            <rFont val="Tahoma"/>
            <family val="2"/>
          </rPr>
          <t>bbrln15:</t>
        </r>
        <r>
          <rPr>
            <sz val="8"/>
            <rFont val="Tahoma"/>
            <family val="2"/>
          </rPr>
          <t xml:space="preserve">
Iverksettes fra 1.6.12</t>
        </r>
      </text>
    </comment>
  </commentList>
</comments>
</file>

<file path=xl/sharedStrings.xml><?xml version="1.0" encoding="utf-8"?>
<sst xmlns="http://schemas.openxmlformats.org/spreadsheetml/2006/main" count="1032" uniqueCount="80">
  <si>
    <t>Månedslønn</t>
  </si>
  <si>
    <t>B1</t>
  </si>
  <si>
    <t>B2</t>
  </si>
  <si>
    <t>B5</t>
  </si>
  <si>
    <t>New OSA grade</t>
  </si>
  <si>
    <t>SAP Classification</t>
  </si>
  <si>
    <t>Annual Salary</t>
  </si>
  <si>
    <t>12% feriep</t>
  </si>
  <si>
    <t>Sokkel komp 132d</t>
  </si>
  <si>
    <t>Hourly rate utov.12 timer</t>
  </si>
  <si>
    <t>65% Overtime</t>
  </si>
  <si>
    <t>Hourly rate Onshore</t>
  </si>
  <si>
    <t>B3</t>
  </si>
  <si>
    <t>B4</t>
  </si>
  <si>
    <t>B6</t>
  </si>
  <si>
    <t>B7</t>
  </si>
  <si>
    <t>B8</t>
  </si>
  <si>
    <t>OSA tittel</t>
  </si>
  <si>
    <t>Code:</t>
  </si>
  <si>
    <t xml:space="preserve">Offsh Bonus </t>
  </si>
  <si>
    <t>Field Service Rep-</t>
  </si>
  <si>
    <t>Drilling Fluids, II</t>
  </si>
  <si>
    <t>BD09-ESG</t>
  </si>
  <si>
    <t>Borevæskeingeniør</t>
  </si>
  <si>
    <t>Surface Solutions</t>
  </si>
  <si>
    <t>Baroid Surface Solutions</t>
  </si>
  <si>
    <t>Supervisor</t>
  </si>
  <si>
    <t>BS09-ESG</t>
  </si>
  <si>
    <t>Svc Supervisor II -</t>
  </si>
  <si>
    <t>(OSA tittel: Snr Brønntekniker)</t>
  </si>
  <si>
    <t>B9</t>
  </si>
  <si>
    <t>Monthly Salary Wage Type 1003</t>
  </si>
  <si>
    <r>
      <t xml:space="preserve">SALARY STRUCTURE FOR BAROID FROM 01.04.2011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</si>
  <si>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01.06.2011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</si>
  <si>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01.06.2012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</si>
  <si>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t>B10</t>
  </si>
  <si>
    <t>A2</t>
  </si>
  <si>
    <t>Borevæskeingeniør 1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</si>
  <si>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</si>
  <si>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</si>
  <si>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</si>
  <si>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</si>
  <si>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</si>
  <si>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</si>
  <si>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</si>
  <si>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</si>
  <si>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</si>
  <si>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Drilling Fluids, III</t>
  </si>
  <si>
    <t>BD10-ESG</t>
  </si>
  <si>
    <r>
      <t xml:space="preserve">SALARY STRUCTURE FOR BAROID FROM 01.01.2013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</si>
  <si>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01.06.2013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</si>
  <si>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01.01.2014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</si>
  <si>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01.06.2014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</si>
  <si>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01.01.2015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</si>
  <si>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01.06.2015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</si>
  <si>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01.01.2016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</si>
  <si>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12.10.2016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</si>
  <si>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01.01.2017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</si>
  <si>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01.06.2017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</si>
  <si>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01.01.2018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</si>
  <si>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t>B11</t>
  </si>
  <si>
    <r>
      <t xml:space="preserve">SALARY STRUCTURE FOR BAROID FROM 01.06.2018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</si>
  <si>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01.01.2019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</si>
  <si>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t>B12</t>
  </si>
  <si>
    <t>A12</t>
  </si>
  <si>
    <r>
      <t xml:space="preserve">SALARY STRUCTURE FOR BAROID FROM 01.06.2019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</si>
  <si>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01.01.2020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</si>
  <si>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01.06.2020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</si>
  <si>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01.01.2021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</si>
  <si>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t>Ind</t>
  </si>
  <si>
    <t>Snr.Borevæskeingeniør</t>
  </si>
  <si>
    <t>Field Professional 1</t>
  </si>
  <si>
    <t>BD01-ESG</t>
  </si>
  <si>
    <t>Field Professional II</t>
  </si>
  <si>
    <t>BD02-ESG</t>
  </si>
  <si>
    <t>Serv.Sup.III-Surf.Sol</t>
  </si>
  <si>
    <t>BS10-ESG</t>
  </si>
  <si>
    <r>
      <t xml:space="preserve">SALARY STRUCTURE FOR BAROID FROM 01.06.2021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</si>
  <si>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01.01.2022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</si>
  <si>
    <r>
      <t xml:space="preserve">SALARY STRUCTURE FOR BAROID FROM 01.06.2022 </t>
    </r>
    <r>
      <rPr>
        <b/>
        <u val="single"/>
        <sz val="8"/>
        <color indexed="10"/>
        <rFont val="Arial"/>
        <family val="2"/>
      </rPr>
      <t>PAY SCALE TYPE: 17_IE Baroid 2-4 (Borevæskeingeniører)</t>
    </r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</si>
</sst>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 * #,##0_ ;_ * \-#,##0_ ;_ * &quot;-&quot;??_ ;_ @_ "/>
    <numFmt numFmtId="187" formatCode="dd\-mmm\-yy"/>
    <numFmt numFmtId="188" formatCode="_ * #,##0.0_ ;_ * \-#,##0.0_ ;_ * &quot;-&quot;??_ ;_ @_ 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33" borderId="0" xfId="0" applyFont="1" applyFill="1" applyBorder="1" applyAlignment="1" applyProtection="1" quotePrefix="1">
      <alignment horizontal="left"/>
      <protection locked="0"/>
    </xf>
    <xf numFmtId="0" fontId="4" fillId="33" borderId="0" xfId="0" applyFont="1" applyFill="1" applyBorder="1" applyAlignment="1" applyProtection="1" quotePrefix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86" fontId="7" fillId="33" borderId="0" xfId="42" applyNumberFormat="1" applyFont="1" applyFill="1" applyBorder="1" applyAlignment="1" applyProtection="1">
      <alignment horizontal="center" wrapText="1"/>
      <protection locked="0"/>
    </xf>
    <xf numFmtId="186" fontId="6" fillId="33" borderId="0" xfId="42" applyNumberFormat="1" applyFont="1" applyFill="1" applyBorder="1" applyAlignment="1" applyProtection="1">
      <alignment/>
      <protection locked="0"/>
    </xf>
    <xf numFmtId="186" fontId="5" fillId="33" borderId="0" xfId="42" applyNumberFormat="1" applyFont="1" applyFill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 horizontal="center" wrapText="1"/>
      <protection locked="0"/>
    </xf>
    <xf numFmtId="9" fontId="6" fillId="33" borderId="0" xfId="42" applyNumberFormat="1" applyFont="1" applyFill="1" applyBorder="1" applyAlignment="1" applyProtection="1">
      <alignment horizontal="center" wrapText="1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 applyProtection="1">
      <alignment/>
      <protection locked="0"/>
    </xf>
    <xf numFmtId="186" fontId="5" fillId="33" borderId="0" xfId="42" applyNumberFormat="1" applyFont="1" applyFill="1" applyBorder="1" applyAlignment="1" applyProtection="1" quotePrefix="1">
      <alignment horizontal="center" wrapText="1"/>
      <protection locked="0"/>
    </xf>
    <xf numFmtId="186" fontId="6" fillId="33" borderId="0" xfId="42" applyNumberFormat="1" applyFont="1" applyFill="1" applyBorder="1" applyAlignment="1" applyProtection="1">
      <alignment horizontal="center" wrapText="1"/>
      <protection locked="0"/>
    </xf>
    <xf numFmtId="186" fontId="5" fillId="33" borderId="0" xfId="42" applyNumberFormat="1" applyFont="1" applyFill="1" applyBorder="1" applyAlignment="1" applyProtection="1">
      <alignment horizontal="center" wrapText="1"/>
      <protection locked="0"/>
    </xf>
    <xf numFmtId="186" fontId="6" fillId="33" borderId="0" xfId="42" applyNumberFormat="1" applyFont="1" applyFill="1" applyBorder="1" applyAlignment="1" applyProtection="1">
      <alignment horizontal="center"/>
      <protection locked="0"/>
    </xf>
    <xf numFmtId="171" fontId="6" fillId="33" borderId="0" xfId="42" applyFont="1" applyFill="1" applyBorder="1" applyAlignment="1" applyProtection="1" quotePrefix="1">
      <alignment horizontal="center" wrapText="1"/>
      <protection locked="0"/>
    </xf>
    <xf numFmtId="9" fontId="6" fillId="33" borderId="0" xfId="42" applyNumberFormat="1" applyFont="1" applyFill="1" applyBorder="1" applyAlignment="1" applyProtection="1" quotePrefix="1">
      <alignment horizontal="right" wrapText="1"/>
      <protection locked="0"/>
    </xf>
    <xf numFmtId="186" fontId="8" fillId="33" borderId="0" xfId="42" applyNumberFormat="1" applyFont="1" applyFill="1" applyBorder="1" applyAlignment="1" applyProtection="1">
      <alignment horizontal="center"/>
      <protection locked="0"/>
    </xf>
    <xf numFmtId="186" fontId="5" fillId="33" borderId="0" xfId="42" applyNumberFormat="1" applyFont="1" applyFill="1" applyBorder="1" applyAlignment="1" applyProtection="1">
      <alignment horizontal="center"/>
      <protection locked="0"/>
    </xf>
    <xf numFmtId="171" fontId="6" fillId="33" borderId="0" xfId="42" applyFont="1" applyFill="1" applyBorder="1" applyAlignment="1" applyProtection="1">
      <alignment horizontal="center" wrapText="1"/>
      <protection locked="0"/>
    </xf>
    <xf numFmtId="9" fontId="6" fillId="33" borderId="0" xfId="42" applyNumberFormat="1" applyFont="1" applyFill="1" applyBorder="1" applyAlignment="1" applyProtection="1">
      <alignment horizontal="right" wrapText="1"/>
      <protection locked="0"/>
    </xf>
    <xf numFmtId="0" fontId="8" fillId="33" borderId="0" xfId="0" applyFont="1" applyFill="1" applyBorder="1" applyAlignment="1" applyProtection="1">
      <alignment/>
      <protection locked="0"/>
    </xf>
    <xf numFmtId="186" fontId="8" fillId="33" borderId="0" xfId="0" applyNumberFormat="1" applyFont="1" applyFill="1" applyBorder="1" applyAlignment="1" applyProtection="1">
      <alignment horizontal="center"/>
      <protection locked="0"/>
    </xf>
    <xf numFmtId="171" fontId="8" fillId="33" borderId="0" xfId="42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186" fontId="7" fillId="33" borderId="0" xfId="42" applyNumberFormat="1" applyFont="1" applyFill="1" applyBorder="1" applyAlignment="1" applyProtection="1">
      <alignment/>
      <protection locked="0"/>
    </xf>
    <xf numFmtId="186" fontId="8" fillId="33" borderId="0" xfId="42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186" fontId="2" fillId="33" borderId="0" xfId="42" applyNumberFormat="1" applyFont="1" applyFill="1" applyBorder="1" applyAlignment="1" applyProtection="1">
      <alignment horizontal="center"/>
      <protection locked="0"/>
    </xf>
    <xf numFmtId="186" fontId="1" fillId="33" borderId="0" xfId="42" applyNumberFormat="1" applyFont="1" applyFill="1" applyBorder="1" applyAlignment="1" applyProtection="1">
      <alignment horizontal="center"/>
      <protection locked="0"/>
    </xf>
    <xf numFmtId="186" fontId="3" fillId="33" borderId="0" xfId="42" applyNumberFormat="1" applyFont="1" applyFill="1" applyBorder="1" applyAlignment="1" applyProtection="1">
      <alignment/>
      <protection locked="0"/>
    </xf>
    <xf numFmtId="186" fontId="0" fillId="33" borderId="0" xfId="42" applyNumberFormat="1" applyFill="1" applyBorder="1" applyAlignment="1" applyProtection="1">
      <alignment/>
      <protection locked="0"/>
    </xf>
    <xf numFmtId="186" fontId="0" fillId="33" borderId="0" xfId="42" applyNumberFormat="1" applyFill="1" applyBorder="1" applyAlignment="1" applyProtection="1">
      <alignment horizontal="center"/>
      <protection locked="0"/>
    </xf>
    <xf numFmtId="171" fontId="0" fillId="33" borderId="0" xfId="42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 quotePrefix="1">
      <alignment horizontal="center"/>
      <protection locked="0"/>
    </xf>
    <xf numFmtId="0" fontId="8" fillId="33" borderId="0" xfId="0" applyFont="1" applyFill="1" applyBorder="1" applyAlignment="1" applyProtection="1" quotePrefix="1">
      <alignment horizontal="left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IV16384"/>
    </sheetView>
  </sheetViews>
  <sheetFormatPr defaultColWidth="10.421875" defaultRowHeight="12" customHeight="1"/>
  <cols>
    <col min="1" max="1" width="10.140625" style="10" customWidth="1"/>
    <col min="2" max="2" width="20.421875" style="29" customWidth="1"/>
    <col min="3" max="3" width="17.00390625" style="29" customWidth="1"/>
    <col min="4" max="4" width="8.28125" style="29" bestFit="1" customWidth="1"/>
    <col min="5" max="5" width="8.7109375" style="31" bestFit="1" customWidth="1"/>
    <col min="6" max="6" width="6.57421875" style="32" bestFit="1" customWidth="1"/>
    <col min="7" max="7" width="7.140625" style="32" customWidth="1"/>
    <col min="8" max="8" width="7.7109375" style="33" bestFit="1" customWidth="1"/>
    <col min="9" max="9" width="0.85546875" style="34" customWidth="1"/>
    <col min="10" max="10" width="6.00390625" style="33" bestFit="1" customWidth="1"/>
    <col min="11" max="11" width="10.421875" style="35" hidden="1" customWidth="1"/>
    <col min="12" max="12" width="10.421875" style="26" hidden="1" customWidth="1"/>
    <col min="13" max="13" width="10.00390625" style="36" bestFit="1" customWidth="1"/>
    <col min="14" max="14" width="8.28125" style="36" bestFit="1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32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</v>
      </c>
      <c r="B4" s="23" t="s">
        <v>23</v>
      </c>
      <c r="C4" s="23" t="s">
        <v>20</v>
      </c>
      <c r="D4" s="23" t="s">
        <v>22</v>
      </c>
      <c r="E4" s="16">
        <f>(466721*1.011)+10000</f>
        <v>481854.9309999999</v>
      </c>
      <c r="F4" s="19">
        <f aca="true" t="shared" si="0" ref="F4:F12">E4-(E4/1.12)</f>
        <v>51627.31403571431</v>
      </c>
      <c r="G4" s="19">
        <f aca="true" t="shared" si="1" ref="G4:G12">J4*132</f>
        <v>0</v>
      </c>
      <c r="H4" s="6">
        <f>E4/12</f>
        <v>40154.577583333325</v>
      </c>
      <c r="I4" s="6"/>
      <c r="J4" s="6">
        <v>0</v>
      </c>
      <c r="K4" s="19">
        <f aca="true" t="shared" si="2" ref="K4:K12">J4*146</f>
        <v>0</v>
      </c>
      <c r="L4" s="24">
        <f aca="true" t="shared" si="3" ref="L4:L12">(E4-K4)/12</f>
        <v>40154.577583333325</v>
      </c>
      <c r="M4" s="25">
        <f aca="true" t="shared" si="4" ref="M4:M12">E4/1752</f>
        <v>275.03135331050225</v>
      </c>
      <c r="N4" s="25">
        <f aca="true" t="shared" si="5" ref="N4:N12">M4*1.65</f>
        <v>453.8017329623287</v>
      </c>
      <c r="O4" s="25">
        <f aca="true" t="shared" si="6" ref="O4:O12">H4/162.5</f>
        <v>247.10509282051277</v>
      </c>
    </row>
    <row r="5" spans="1:15" ht="10.5" customHeight="1">
      <c r="A5" s="4" t="s">
        <v>2</v>
      </c>
      <c r="B5" s="23"/>
      <c r="C5" s="23" t="s">
        <v>21</v>
      </c>
      <c r="D5" s="23"/>
      <c r="E5" s="16">
        <f>(478568*1.011)+10000</f>
        <v>493832.24799999996</v>
      </c>
      <c r="F5" s="19">
        <f t="shared" si="0"/>
        <v>52910.598000000056</v>
      </c>
      <c r="G5" s="19">
        <f t="shared" si="1"/>
        <v>0</v>
      </c>
      <c r="H5" s="6">
        <f aca="true" t="shared" si="7" ref="H5:H12">E5/12</f>
        <v>41152.68733333333</v>
      </c>
      <c r="I5" s="6"/>
      <c r="J5" s="6">
        <v>0</v>
      </c>
      <c r="K5" s="19">
        <f t="shared" si="2"/>
        <v>0</v>
      </c>
      <c r="L5" s="24">
        <f t="shared" si="3"/>
        <v>41152.68733333333</v>
      </c>
      <c r="M5" s="25">
        <f t="shared" si="4"/>
        <v>281.8677214611872</v>
      </c>
      <c r="N5" s="25">
        <f t="shared" si="5"/>
        <v>465.0817404109589</v>
      </c>
      <c r="O5" s="25">
        <f t="shared" si="6"/>
        <v>253.24730666666665</v>
      </c>
    </row>
    <row r="6" spans="1:15" ht="10.5" customHeight="1">
      <c r="A6" s="4" t="s">
        <v>12</v>
      </c>
      <c r="B6" s="23" t="s">
        <v>25</v>
      </c>
      <c r="C6" s="23" t="s">
        <v>28</v>
      </c>
      <c r="D6" s="23" t="s">
        <v>27</v>
      </c>
      <c r="E6" s="16">
        <f>(490413*1.011)+10000</f>
        <v>505807.54299999995</v>
      </c>
      <c r="F6" s="19">
        <f t="shared" si="0"/>
        <v>54193.66532142862</v>
      </c>
      <c r="G6" s="19">
        <f t="shared" si="1"/>
        <v>0</v>
      </c>
      <c r="H6" s="6">
        <f t="shared" si="7"/>
        <v>42150.62858333333</v>
      </c>
      <c r="I6" s="6"/>
      <c r="J6" s="6">
        <v>0</v>
      </c>
      <c r="K6" s="19">
        <f t="shared" si="2"/>
        <v>0</v>
      </c>
      <c r="L6" s="24">
        <f t="shared" si="3"/>
        <v>42150.62858333333</v>
      </c>
      <c r="M6" s="25">
        <f t="shared" si="4"/>
        <v>288.7029355022831</v>
      </c>
      <c r="N6" s="25">
        <f t="shared" si="5"/>
        <v>476.3598435787671</v>
      </c>
      <c r="O6" s="25">
        <f t="shared" si="6"/>
        <v>259.3884835897436</v>
      </c>
    </row>
    <row r="7" spans="1:15" ht="10.5" customHeight="1">
      <c r="A7" s="4" t="s">
        <v>13</v>
      </c>
      <c r="B7" s="23" t="s">
        <v>26</v>
      </c>
      <c r="C7" s="23" t="s">
        <v>24</v>
      </c>
      <c r="D7" s="23"/>
      <c r="E7" s="16">
        <f>(502261*1.011)+10000</f>
        <v>517785.8709999999</v>
      </c>
      <c r="F7" s="19">
        <f t="shared" si="0"/>
        <v>55477.057607142895</v>
      </c>
      <c r="G7" s="19">
        <f t="shared" si="1"/>
        <v>0</v>
      </c>
      <c r="H7" s="6">
        <f t="shared" si="7"/>
        <v>43148.82258333333</v>
      </c>
      <c r="I7" s="6"/>
      <c r="J7" s="6">
        <v>0</v>
      </c>
      <c r="K7" s="19">
        <f t="shared" si="2"/>
        <v>0</v>
      </c>
      <c r="L7" s="24">
        <f t="shared" si="3"/>
        <v>43148.82258333333</v>
      </c>
      <c r="M7" s="25">
        <f t="shared" si="4"/>
        <v>295.5398807077625</v>
      </c>
      <c r="N7" s="25">
        <f t="shared" si="5"/>
        <v>487.6408031678081</v>
      </c>
      <c r="O7" s="25">
        <f t="shared" si="6"/>
        <v>265.53121589743586</v>
      </c>
    </row>
    <row r="8" spans="1:15" ht="10.5" customHeight="1">
      <c r="A8" s="4" t="s">
        <v>3</v>
      </c>
      <c r="B8" s="23" t="s">
        <v>29</v>
      </c>
      <c r="C8" s="23"/>
      <c r="D8" s="23"/>
      <c r="E8" s="16">
        <f>(514107*1.011)+10000</f>
        <v>529762.1769999999</v>
      </c>
      <c r="F8" s="19">
        <f t="shared" si="0"/>
        <v>56760.23325000005</v>
      </c>
      <c r="G8" s="19">
        <f t="shared" si="1"/>
        <v>0</v>
      </c>
      <c r="H8" s="6">
        <f t="shared" si="7"/>
        <v>44146.84808333332</v>
      </c>
      <c r="I8" s="6"/>
      <c r="J8" s="6">
        <v>0</v>
      </c>
      <c r="K8" s="19">
        <f t="shared" si="2"/>
        <v>0</v>
      </c>
      <c r="L8" s="24">
        <f t="shared" si="3"/>
        <v>44146.84808333332</v>
      </c>
      <c r="M8" s="25">
        <f t="shared" si="4"/>
        <v>302.3756718036529</v>
      </c>
      <c r="N8" s="25">
        <f t="shared" si="5"/>
        <v>498.91985847602723</v>
      </c>
      <c r="O8" s="25">
        <f t="shared" si="6"/>
        <v>271.67291128205125</v>
      </c>
    </row>
    <row r="9" spans="1:15" ht="10.5" customHeight="1">
      <c r="A9" s="4" t="s">
        <v>14</v>
      </c>
      <c r="B9" s="23"/>
      <c r="C9" s="23"/>
      <c r="D9" s="23"/>
      <c r="E9" s="16">
        <f>531739+10000</f>
        <v>541739</v>
      </c>
      <c r="F9" s="19">
        <f t="shared" si="0"/>
        <v>58043.46428571432</v>
      </c>
      <c r="G9" s="19">
        <f t="shared" si="1"/>
        <v>0</v>
      </c>
      <c r="H9" s="6">
        <f t="shared" si="7"/>
        <v>45144.916666666664</v>
      </c>
      <c r="I9" s="6"/>
      <c r="J9" s="6">
        <v>0</v>
      </c>
      <c r="K9" s="19">
        <f t="shared" si="2"/>
        <v>0</v>
      </c>
      <c r="L9" s="24">
        <f t="shared" si="3"/>
        <v>45144.916666666664</v>
      </c>
      <c r="M9" s="25">
        <f t="shared" si="4"/>
        <v>309.21175799086757</v>
      </c>
      <c r="N9" s="25">
        <f t="shared" si="5"/>
        <v>510.19940068493145</v>
      </c>
      <c r="O9" s="25">
        <f t="shared" si="6"/>
        <v>277.8148717948718</v>
      </c>
    </row>
    <row r="10" spans="1:15" ht="10.5" customHeight="1">
      <c r="A10" s="4" t="s">
        <v>15</v>
      </c>
      <c r="B10" s="23"/>
      <c r="C10" s="23"/>
      <c r="D10" s="23"/>
      <c r="E10" s="16">
        <f>543716+10000</f>
        <v>553716</v>
      </c>
      <c r="F10" s="19">
        <f t="shared" si="0"/>
        <v>59326.71428571432</v>
      </c>
      <c r="G10" s="19">
        <f t="shared" si="1"/>
        <v>0</v>
      </c>
      <c r="H10" s="6">
        <f t="shared" si="7"/>
        <v>46143</v>
      </c>
      <c r="I10" s="6"/>
      <c r="J10" s="6">
        <v>0</v>
      </c>
      <c r="K10" s="19">
        <f t="shared" si="2"/>
        <v>0</v>
      </c>
      <c r="L10" s="24">
        <f t="shared" si="3"/>
        <v>46143</v>
      </c>
      <c r="M10" s="25">
        <f t="shared" si="4"/>
        <v>316.04794520547944</v>
      </c>
      <c r="N10" s="25">
        <f t="shared" si="5"/>
        <v>521.4791095890411</v>
      </c>
      <c r="O10" s="25">
        <f t="shared" si="6"/>
        <v>283.9569230769231</v>
      </c>
    </row>
    <row r="11" spans="1:15" ht="10.5" customHeight="1">
      <c r="A11" s="4" t="s">
        <v>16</v>
      </c>
      <c r="B11" s="23"/>
      <c r="C11" s="23"/>
      <c r="D11" s="23"/>
      <c r="E11" s="16">
        <f>(553330*1.011)+10000</f>
        <v>569416.6299999999</v>
      </c>
      <c r="F11" s="19">
        <f t="shared" si="0"/>
        <v>61008.924642857164</v>
      </c>
      <c r="G11" s="19">
        <f t="shared" si="1"/>
        <v>0</v>
      </c>
      <c r="H11" s="6">
        <f t="shared" si="7"/>
        <v>47451.38583333333</v>
      </c>
      <c r="I11" s="6"/>
      <c r="J11" s="6">
        <v>0</v>
      </c>
      <c r="K11" s="19">
        <f t="shared" si="2"/>
        <v>0</v>
      </c>
      <c r="L11" s="24">
        <f t="shared" si="3"/>
        <v>47451.38583333333</v>
      </c>
      <c r="M11" s="25">
        <f t="shared" si="4"/>
        <v>325.0094920091324</v>
      </c>
      <c r="N11" s="25">
        <f t="shared" si="5"/>
        <v>536.2656618150684</v>
      </c>
      <c r="O11" s="25">
        <f t="shared" si="6"/>
        <v>292.0085282051282</v>
      </c>
    </row>
    <row r="12" spans="1:15" ht="10.5" customHeight="1">
      <c r="A12" s="4" t="s">
        <v>30</v>
      </c>
      <c r="B12" s="23"/>
      <c r="C12" s="23"/>
      <c r="D12" s="23"/>
      <c r="E12" s="16">
        <f>(568330*1.011)+10000</f>
        <v>584581.6299999999</v>
      </c>
      <c r="F12" s="19">
        <f t="shared" si="0"/>
        <v>62633.746071428584</v>
      </c>
      <c r="G12" s="19">
        <f t="shared" si="1"/>
        <v>0</v>
      </c>
      <c r="H12" s="6">
        <f t="shared" si="7"/>
        <v>48715.13583333333</v>
      </c>
      <c r="I12" s="6"/>
      <c r="J12" s="6">
        <v>0</v>
      </c>
      <c r="K12" s="19">
        <f t="shared" si="2"/>
        <v>0</v>
      </c>
      <c r="L12" s="24">
        <f t="shared" si="3"/>
        <v>48715.13583333333</v>
      </c>
      <c r="M12" s="25">
        <f t="shared" si="4"/>
        <v>333.6653139269406</v>
      </c>
      <c r="N12" s="25">
        <f t="shared" si="5"/>
        <v>550.5477679794519</v>
      </c>
      <c r="O12" s="25">
        <f t="shared" si="6"/>
        <v>299.7854512820512</v>
      </c>
    </row>
    <row r="13" spans="1:15" ht="10.5" customHeight="1">
      <c r="A13" s="4"/>
      <c r="B13" s="23"/>
      <c r="C13" s="23"/>
      <c r="D13" s="23"/>
      <c r="E13" s="20"/>
      <c r="F13" s="16"/>
      <c r="G13" s="16"/>
      <c r="H13" s="27"/>
      <c r="I13" s="28"/>
      <c r="J13" s="6"/>
      <c r="K13" s="19"/>
      <c r="L13" s="24"/>
      <c r="M13" s="25"/>
      <c r="N13" s="25"/>
      <c r="O13" s="25"/>
    </row>
    <row r="14" spans="1:15" ht="10.5" customHeight="1">
      <c r="A14" s="4"/>
      <c r="B14" s="23"/>
      <c r="C14" s="23"/>
      <c r="D14" s="23"/>
      <c r="E14" s="20"/>
      <c r="F14" s="16"/>
      <c r="G14" s="16"/>
      <c r="H14" s="27"/>
      <c r="I14" s="28"/>
      <c r="J14" s="6"/>
      <c r="K14" s="19"/>
      <c r="L14" s="24"/>
      <c r="M14" s="25"/>
      <c r="N14" s="25"/>
      <c r="O14" s="25"/>
    </row>
    <row r="15" spans="1:15" ht="10.5" customHeight="1">
      <c r="A15" s="4"/>
      <c r="B15" s="23"/>
      <c r="C15" s="23"/>
      <c r="D15" s="23"/>
      <c r="E15" s="20"/>
      <c r="F15" s="16"/>
      <c r="G15" s="16"/>
      <c r="H15" s="27"/>
      <c r="I15" s="28"/>
      <c r="J15" s="6"/>
      <c r="K15" s="19"/>
      <c r="L15" s="24"/>
      <c r="M15" s="25"/>
      <c r="N15" s="25"/>
      <c r="O15" s="25"/>
    </row>
    <row r="16" spans="1:15" ht="10.5" customHeight="1">
      <c r="A16" s="4"/>
      <c r="B16" s="23"/>
      <c r="C16" s="23"/>
      <c r="D16" s="23"/>
      <c r="E16" s="20"/>
      <c r="F16" s="16"/>
      <c r="G16" s="16"/>
      <c r="H16" s="27"/>
      <c r="I16" s="28"/>
      <c r="J16" s="6"/>
      <c r="K16" s="19"/>
      <c r="L16" s="24"/>
      <c r="M16" s="25"/>
      <c r="N16" s="25"/>
      <c r="O16" s="25"/>
    </row>
    <row r="17" spans="1:15" ht="10.5" customHeight="1">
      <c r="A17" s="4"/>
      <c r="B17" s="23"/>
      <c r="C17" s="23"/>
      <c r="E17" s="20"/>
      <c r="F17" s="16"/>
      <c r="G17" s="16"/>
      <c r="H17" s="27"/>
      <c r="I17" s="28"/>
      <c r="J17" s="6"/>
      <c r="K17" s="19"/>
      <c r="L17" s="24"/>
      <c r="M17" s="25"/>
      <c r="N17" s="25"/>
      <c r="O17" s="25"/>
    </row>
    <row r="18" spans="1:15" ht="10.5" customHeight="1">
      <c r="A18" s="4"/>
      <c r="B18" s="23"/>
      <c r="C18" s="23"/>
      <c r="D18" s="23"/>
      <c r="E18" s="20"/>
      <c r="F18" s="16"/>
      <c r="G18" s="16"/>
      <c r="H18" s="27"/>
      <c r="I18" s="28"/>
      <c r="J18" s="6"/>
      <c r="K18" s="19"/>
      <c r="L18" s="30"/>
      <c r="M18" s="25"/>
      <c r="N18" s="25"/>
      <c r="O18" s="25"/>
    </row>
    <row r="19" spans="3:4" ht="10.5" customHeight="1">
      <c r="C19" s="23"/>
      <c r="D19" s="23"/>
    </row>
    <row r="20" ht="10.5" customHeight="1">
      <c r="A20" s="37"/>
    </row>
    <row r="21" ht="10.5" customHeight="1">
      <c r="A21" s="3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:IV16384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55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13</v>
      </c>
      <c r="B4" s="23" t="s">
        <v>23</v>
      </c>
      <c r="C4" s="23" t="s">
        <v>20</v>
      </c>
      <c r="D4" s="23" t="s">
        <v>22</v>
      </c>
      <c r="E4" s="16">
        <f>586417+5160</f>
        <v>591577</v>
      </c>
      <c r="F4" s="19">
        <f aca="true" t="shared" si="0" ref="F4:F9">E4-(E4/1.12)</f>
        <v>63383.25</v>
      </c>
      <c r="G4" s="19">
        <f aca="true" t="shared" si="1" ref="G4:G9">J4*132</f>
        <v>0</v>
      </c>
      <c r="H4" s="6">
        <f aca="true" t="shared" si="2" ref="H4:H9">E4/12</f>
        <v>49298.083333333336</v>
      </c>
      <c r="I4" s="6"/>
      <c r="J4" s="6">
        <v>0</v>
      </c>
      <c r="K4" s="19">
        <f aca="true" t="shared" si="3" ref="K4:K9">J4*146</f>
        <v>0</v>
      </c>
      <c r="L4" s="24">
        <f aca="true" t="shared" si="4" ref="L4:L9">(E4-K4)/12</f>
        <v>49298.083333333336</v>
      </c>
      <c r="M4" s="25">
        <f aca="true" t="shared" si="5" ref="M4:M9">E4/1752</f>
        <v>337.658105022831</v>
      </c>
      <c r="N4" s="25">
        <f aca="true" t="shared" si="6" ref="N4:N9">M4*1.65</f>
        <v>557.1358732876712</v>
      </c>
      <c r="O4" s="25">
        <f aca="true" t="shared" si="7" ref="O4:O18">(E4-(783*146))/1950</f>
        <v>244.74820512820511</v>
      </c>
    </row>
    <row r="5" spans="1:15" ht="10.5" customHeight="1">
      <c r="A5" s="4" t="s">
        <v>3</v>
      </c>
      <c r="B5" s="23"/>
      <c r="C5" s="23" t="s">
        <v>21</v>
      </c>
      <c r="D5" s="23"/>
      <c r="E5" s="16">
        <f>598933+5160</f>
        <v>604093</v>
      </c>
      <c r="F5" s="19">
        <f t="shared" si="0"/>
        <v>64724.25</v>
      </c>
      <c r="G5" s="19">
        <f t="shared" si="1"/>
        <v>0</v>
      </c>
      <c r="H5" s="6">
        <f t="shared" si="2"/>
        <v>50341.083333333336</v>
      </c>
      <c r="I5" s="6"/>
      <c r="J5" s="6">
        <v>0</v>
      </c>
      <c r="K5" s="19">
        <f t="shared" si="3"/>
        <v>0</v>
      </c>
      <c r="L5" s="24">
        <f t="shared" si="4"/>
        <v>50341.083333333336</v>
      </c>
      <c r="M5" s="25">
        <f t="shared" si="5"/>
        <v>344.8019406392694</v>
      </c>
      <c r="N5" s="25">
        <f t="shared" si="6"/>
        <v>568.9232020547945</v>
      </c>
      <c r="O5" s="25">
        <f t="shared" si="7"/>
        <v>251.16666666666666</v>
      </c>
    </row>
    <row r="6" spans="1:15" ht="10.5" customHeight="1">
      <c r="A6" s="4" t="s">
        <v>14</v>
      </c>
      <c r="B6" s="23" t="s">
        <v>25</v>
      </c>
      <c r="C6" s="23" t="s">
        <v>28</v>
      </c>
      <c r="D6" s="23" t="s">
        <v>27</v>
      </c>
      <c r="E6" s="16">
        <f>611448+5160</f>
        <v>616608</v>
      </c>
      <c r="F6" s="19">
        <f t="shared" si="0"/>
        <v>66065.14285714296</v>
      </c>
      <c r="G6" s="19">
        <f t="shared" si="1"/>
        <v>0</v>
      </c>
      <c r="H6" s="6">
        <f t="shared" si="2"/>
        <v>51384</v>
      </c>
      <c r="I6" s="6"/>
      <c r="J6" s="6">
        <v>0</v>
      </c>
      <c r="K6" s="19">
        <f t="shared" si="3"/>
        <v>0</v>
      </c>
      <c r="L6" s="24">
        <f t="shared" si="4"/>
        <v>51384</v>
      </c>
      <c r="M6" s="25">
        <f t="shared" si="5"/>
        <v>351.94520547945206</v>
      </c>
      <c r="N6" s="25">
        <f t="shared" si="6"/>
        <v>580.7095890410959</v>
      </c>
      <c r="O6" s="25">
        <f t="shared" si="7"/>
        <v>257.5846153846154</v>
      </c>
    </row>
    <row r="7" spans="1:15" ht="10.5" customHeight="1">
      <c r="A7" s="4" t="s">
        <v>15</v>
      </c>
      <c r="B7" s="23" t="s">
        <v>26</v>
      </c>
      <c r="C7" s="23" t="s">
        <v>24</v>
      </c>
      <c r="D7" s="23"/>
      <c r="E7" s="16">
        <f>623965+5160</f>
        <v>629125</v>
      </c>
      <c r="F7" s="19">
        <f t="shared" si="0"/>
        <v>67406.25</v>
      </c>
      <c r="G7" s="19">
        <f t="shared" si="1"/>
        <v>0</v>
      </c>
      <c r="H7" s="6">
        <f t="shared" si="2"/>
        <v>52427.083333333336</v>
      </c>
      <c r="I7" s="6"/>
      <c r="J7" s="6">
        <v>0</v>
      </c>
      <c r="K7" s="19">
        <f t="shared" si="3"/>
        <v>0</v>
      </c>
      <c r="L7" s="24">
        <f t="shared" si="4"/>
        <v>52427.083333333336</v>
      </c>
      <c r="M7" s="25">
        <f t="shared" si="5"/>
        <v>359.0896118721461</v>
      </c>
      <c r="N7" s="25">
        <f t="shared" si="6"/>
        <v>592.497859589041</v>
      </c>
      <c r="O7" s="25">
        <f t="shared" si="7"/>
        <v>264.00358974358977</v>
      </c>
    </row>
    <row r="8" spans="1:15" ht="10.5" customHeight="1">
      <c r="A8" s="4" t="s">
        <v>16</v>
      </c>
      <c r="B8" s="23" t="s">
        <v>29</v>
      </c>
      <c r="C8" s="23"/>
      <c r="D8" s="23"/>
      <c r="E8" s="16">
        <f>640371+5160</f>
        <v>645531</v>
      </c>
      <c r="F8" s="19">
        <f t="shared" si="0"/>
        <v>69164.0357142858</v>
      </c>
      <c r="G8" s="19">
        <f t="shared" si="1"/>
        <v>0</v>
      </c>
      <c r="H8" s="6">
        <f t="shared" si="2"/>
        <v>53794.25</v>
      </c>
      <c r="I8" s="6"/>
      <c r="J8" s="6">
        <v>0</v>
      </c>
      <c r="K8" s="19">
        <f t="shared" si="3"/>
        <v>0</v>
      </c>
      <c r="L8" s="24">
        <f t="shared" si="4"/>
        <v>53794.25</v>
      </c>
      <c r="M8" s="25">
        <f t="shared" si="5"/>
        <v>368.45376712328766</v>
      </c>
      <c r="N8" s="25">
        <f t="shared" si="6"/>
        <v>607.9487157534246</v>
      </c>
      <c r="O8" s="25">
        <f t="shared" si="7"/>
        <v>272.41692307692307</v>
      </c>
    </row>
    <row r="9" spans="1:15" ht="10.5" customHeight="1">
      <c r="A9" s="4" t="s">
        <v>30</v>
      </c>
      <c r="B9" s="23"/>
      <c r="C9" s="23"/>
      <c r="D9" s="23"/>
      <c r="E9" s="16">
        <f>656219+5160</f>
        <v>661379</v>
      </c>
      <c r="F9" s="19">
        <f t="shared" si="0"/>
        <v>70862.0357142858</v>
      </c>
      <c r="G9" s="19">
        <f t="shared" si="1"/>
        <v>0</v>
      </c>
      <c r="H9" s="6">
        <f t="shared" si="2"/>
        <v>55114.916666666664</v>
      </c>
      <c r="I9" s="6"/>
      <c r="J9" s="6">
        <v>0</v>
      </c>
      <c r="K9" s="19">
        <f t="shared" si="3"/>
        <v>0</v>
      </c>
      <c r="L9" s="24">
        <f t="shared" si="4"/>
        <v>55114.916666666664</v>
      </c>
      <c r="M9" s="25">
        <f t="shared" si="5"/>
        <v>377.4994292237443</v>
      </c>
      <c r="N9" s="25">
        <f t="shared" si="6"/>
        <v>622.8740582191781</v>
      </c>
      <c r="O9" s="25">
        <f t="shared" si="7"/>
        <v>280.54410256410256</v>
      </c>
    </row>
    <row r="10" spans="1:15" ht="10.5" customHeight="1">
      <c r="A10" s="4" t="s">
        <v>35</v>
      </c>
      <c r="B10" s="23"/>
      <c r="C10" s="23"/>
      <c r="D10" s="23"/>
      <c r="E10" s="16">
        <f>669719+5160</f>
        <v>674879</v>
      </c>
      <c r="F10" s="19">
        <f>E10-(E10/1.12)</f>
        <v>72308.46428571432</v>
      </c>
      <c r="G10" s="19">
        <f>J10*132</f>
        <v>0</v>
      </c>
      <c r="H10" s="6">
        <f>E10/12</f>
        <v>56239.916666666664</v>
      </c>
      <c r="I10" s="6"/>
      <c r="J10" s="6">
        <v>0</v>
      </c>
      <c r="K10" s="19">
        <f>J10*146</f>
        <v>0</v>
      </c>
      <c r="L10" s="24">
        <f>(E10-K10)/12</f>
        <v>56239.916666666664</v>
      </c>
      <c r="M10" s="25">
        <f>E10/1752</f>
        <v>385.20490867579906</v>
      </c>
      <c r="N10" s="25">
        <f>M10*1.65</f>
        <v>635.5880993150685</v>
      </c>
      <c r="O10" s="25">
        <f t="shared" si="7"/>
        <v>287.46717948717946</v>
      </c>
    </row>
    <row r="11" spans="1:15" ht="10.5" customHeight="1">
      <c r="A11" s="4"/>
      <c r="B11" s="23"/>
      <c r="C11" s="23"/>
      <c r="D11" s="23"/>
      <c r="E11" s="20"/>
      <c r="F11" s="16"/>
      <c r="G11" s="16"/>
      <c r="H11" s="27"/>
      <c r="I11" s="28"/>
      <c r="J11" s="6"/>
      <c r="K11" s="19"/>
      <c r="L11" s="24"/>
      <c r="M11" s="25"/>
      <c r="N11" s="25"/>
      <c r="O11" s="25"/>
    </row>
    <row r="12" spans="1:19" ht="10.5" customHeight="1">
      <c r="A12" s="4" t="s">
        <v>40</v>
      </c>
      <c r="B12" s="38" t="s">
        <v>37</v>
      </c>
      <c r="C12" s="23" t="s">
        <v>20</v>
      </c>
      <c r="D12" s="23" t="s">
        <v>48</v>
      </c>
      <c r="E12" s="16">
        <f>622050+5160</f>
        <v>627210</v>
      </c>
      <c r="F12" s="19">
        <f aca="true" t="shared" si="8" ref="F12:F18">E12-(E12/1.12)</f>
        <v>67201.07142857148</v>
      </c>
      <c r="G12" s="19">
        <f aca="true" t="shared" si="9" ref="G12:G17">J12*132</f>
        <v>0</v>
      </c>
      <c r="H12" s="6">
        <f aca="true" t="shared" si="10" ref="H12:H18">E12/12</f>
        <v>52267.5</v>
      </c>
      <c r="I12" s="28"/>
      <c r="J12" s="6">
        <v>0</v>
      </c>
      <c r="K12" s="28">
        <f aca="true" t="shared" si="11" ref="K12:K18">892+14+9</f>
        <v>915</v>
      </c>
      <c r="L12" s="19">
        <f>J12*146</f>
        <v>0</v>
      </c>
      <c r="M12" s="25">
        <f aca="true" t="shared" si="12" ref="M12:M18">E12/1752</f>
        <v>357.99657534246575</v>
      </c>
      <c r="N12" s="25">
        <f aca="true" t="shared" si="13" ref="N12:N18">M12*1.65</f>
        <v>590.6943493150684</v>
      </c>
      <c r="O12" s="25">
        <f t="shared" si="7"/>
        <v>263.02153846153846</v>
      </c>
      <c r="P12" s="25"/>
      <c r="Q12" s="30"/>
      <c r="R12" s="30"/>
      <c r="S12" s="30"/>
    </row>
    <row r="13" spans="1:19" ht="10.5" customHeight="1">
      <c r="A13" s="4" t="s">
        <v>41</v>
      </c>
      <c r="B13" s="23"/>
      <c r="C13" s="23" t="s">
        <v>47</v>
      </c>
      <c r="D13" s="23"/>
      <c r="E13" s="16">
        <f>634972+5160</f>
        <v>640132</v>
      </c>
      <c r="F13" s="19">
        <f t="shared" si="8"/>
        <v>68585.57142857148</v>
      </c>
      <c r="G13" s="19">
        <f t="shared" si="9"/>
        <v>0</v>
      </c>
      <c r="H13" s="6">
        <f t="shared" si="10"/>
        <v>53344.333333333336</v>
      </c>
      <c r="I13" s="28"/>
      <c r="J13" s="6">
        <v>0</v>
      </c>
      <c r="K13" s="28">
        <f t="shared" si="11"/>
        <v>915</v>
      </c>
      <c r="L13" s="19">
        <f>J13*146</f>
        <v>0</v>
      </c>
      <c r="M13" s="25">
        <f t="shared" si="12"/>
        <v>365.37214611872145</v>
      </c>
      <c r="N13" s="25">
        <f t="shared" si="13"/>
        <v>602.8640410958903</v>
      </c>
      <c r="O13" s="25">
        <f t="shared" si="7"/>
        <v>269.6482051282051</v>
      </c>
      <c r="P13" s="25"/>
      <c r="Q13" s="30"/>
      <c r="R13" s="30"/>
      <c r="S13" s="30"/>
    </row>
    <row r="14" spans="1:19" ht="10.5" customHeight="1">
      <c r="A14" s="4" t="s">
        <v>42</v>
      </c>
      <c r="B14" s="23"/>
      <c r="C14" s="30"/>
      <c r="D14" s="26"/>
      <c r="E14" s="16">
        <f>647895+5160</f>
        <v>653055</v>
      </c>
      <c r="F14" s="19">
        <f t="shared" si="8"/>
        <v>69970.17857142864</v>
      </c>
      <c r="G14" s="19">
        <f t="shared" si="9"/>
        <v>0</v>
      </c>
      <c r="H14" s="6">
        <f t="shared" si="10"/>
        <v>54421.25</v>
      </c>
      <c r="I14" s="28"/>
      <c r="J14" s="6">
        <v>0</v>
      </c>
      <c r="K14" s="28">
        <f t="shared" si="11"/>
        <v>915</v>
      </c>
      <c r="L14" s="19">
        <f>J14*146</f>
        <v>0</v>
      </c>
      <c r="M14" s="25">
        <f t="shared" si="12"/>
        <v>372.7482876712329</v>
      </c>
      <c r="N14" s="25">
        <f t="shared" si="13"/>
        <v>615.0346746575343</v>
      </c>
      <c r="O14" s="25">
        <f t="shared" si="7"/>
        <v>276.2753846153846</v>
      </c>
      <c r="P14" s="25"/>
      <c r="Q14" s="30"/>
      <c r="R14" s="30"/>
      <c r="S14" s="30"/>
    </row>
    <row r="15" spans="1:19" ht="10.5" customHeight="1">
      <c r="A15" s="4" t="s">
        <v>43</v>
      </c>
      <c r="B15" s="23"/>
      <c r="C15" s="30"/>
      <c r="D15" s="26"/>
      <c r="E15" s="16">
        <f>664342+5160</f>
        <v>669502</v>
      </c>
      <c r="F15" s="19">
        <f t="shared" si="8"/>
        <v>71732.35714285716</v>
      </c>
      <c r="G15" s="19">
        <f t="shared" si="9"/>
        <v>0</v>
      </c>
      <c r="H15" s="6">
        <f t="shared" si="10"/>
        <v>55791.833333333336</v>
      </c>
      <c r="I15" s="28"/>
      <c r="J15" s="6">
        <v>0</v>
      </c>
      <c r="K15" s="28">
        <f t="shared" si="11"/>
        <v>915</v>
      </c>
      <c r="L15" s="19">
        <f>J15*146</f>
        <v>0</v>
      </c>
      <c r="M15" s="25">
        <f t="shared" si="12"/>
        <v>382.13584474885846</v>
      </c>
      <c r="N15" s="25">
        <f t="shared" si="13"/>
        <v>630.5241438356164</v>
      </c>
      <c r="O15" s="25">
        <f t="shared" si="7"/>
        <v>284.7097435897436</v>
      </c>
      <c r="P15" s="25"/>
      <c r="Q15" s="30"/>
      <c r="R15" s="30"/>
      <c r="S15" s="30"/>
    </row>
    <row r="16" spans="1:19" ht="10.5" customHeight="1">
      <c r="A16" s="4" t="s">
        <v>44</v>
      </c>
      <c r="B16" s="23"/>
      <c r="C16" s="30"/>
      <c r="D16" s="26"/>
      <c r="E16" s="16">
        <f>680189+5160</f>
        <v>685349</v>
      </c>
      <c r="F16" s="19">
        <f t="shared" si="8"/>
        <v>73430.25000000012</v>
      </c>
      <c r="G16" s="19">
        <f t="shared" si="9"/>
        <v>0</v>
      </c>
      <c r="H16" s="6">
        <f t="shared" si="10"/>
        <v>57112.416666666664</v>
      </c>
      <c r="I16" s="28"/>
      <c r="J16" s="6">
        <v>0</v>
      </c>
      <c r="K16" s="28">
        <f t="shared" si="11"/>
        <v>915</v>
      </c>
      <c r="L16" s="19">
        <f>J16*146</f>
        <v>0</v>
      </c>
      <c r="M16" s="25">
        <f t="shared" si="12"/>
        <v>391.18093607305934</v>
      </c>
      <c r="N16" s="25">
        <f t="shared" si="13"/>
        <v>645.4485445205479</v>
      </c>
      <c r="O16" s="25">
        <f t="shared" si="7"/>
        <v>292.83641025641026</v>
      </c>
      <c r="P16" s="25"/>
      <c r="Q16" s="30"/>
      <c r="R16" s="30"/>
      <c r="S16" s="30"/>
    </row>
    <row r="17" spans="1:19" ht="10.5" customHeight="1">
      <c r="A17" s="4" t="s">
        <v>45</v>
      </c>
      <c r="B17" s="23"/>
      <c r="C17" s="30"/>
      <c r="D17" s="26"/>
      <c r="E17" s="16">
        <f>696036+5160</f>
        <v>701196</v>
      </c>
      <c r="F17" s="19">
        <f t="shared" si="8"/>
        <v>75128.14285714296</v>
      </c>
      <c r="G17" s="19">
        <f t="shared" si="9"/>
        <v>0</v>
      </c>
      <c r="H17" s="6">
        <f t="shared" si="10"/>
        <v>58433</v>
      </c>
      <c r="I17" s="28"/>
      <c r="J17" s="6">
        <v>0</v>
      </c>
      <c r="K17" s="28">
        <f t="shared" si="11"/>
        <v>915</v>
      </c>
      <c r="L17" s="19"/>
      <c r="M17" s="25">
        <f t="shared" si="12"/>
        <v>400.2260273972603</v>
      </c>
      <c r="N17" s="25">
        <f t="shared" si="13"/>
        <v>660.3729452054795</v>
      </c>
      <c r="O17" s="25">
        <f t="shared" si="7"/>
        <v>300.9630769230769</v>
      </c>
      <c r="P17" s="25"/>
      <c r="Q17" s="30"/>
      <c r="R17" s="30"/>
      <c r="S17" s="30"/>
    </row>
    <row r="18" spans="1:19" ht="10.5" customHeight="1">
      <c r="A18" s="4" t="s">
        <v>46</v>
      </c>
      <c r="B18" s="23"/>
      <c r="C18" s="30"/>
      <c r="D18" s="26"/>
      <c r="E18" s="16">
        <f>709536+5160</f>
        <v>714696</v>
      </c>
      <c r="F18" s="19">
        <f t="shared" si="8"/>
        <v>76574.57142857148</v>
      </c>
      <c r="G18" s="19">
        <f>J18*132</f>
        <v>0</v>
      </c>
      <c r="H18" s="6">
        <f t="shared" si="10"/>
        <v>59558</v>
      </c>
      <c r="I18" s="28"/>
      <c r="J18" s="6">
        <v>0</v>
      </c>
      <c r="K18" s="28">
        <f t="shared" si="11"/>
        <v>915</v>
      </c>
      <c r="L18" s="19"/>
      <c r="M18" s="25">
        <f t="shared" si="12"/>
        <v>407.93150684931504</v>
      </c>
      <c r="N18" s="25">
        <f t="shared" si="13"/>
        <v>673.0869863013697</v>
      </c>
      <c r="O18" s="25">
        <f t="shared" si="7"/>
        <v>307.88615384615383</v>
      </c>
      <c r="P18" s="25"/>
      <c r="Q18" s="30"/>
      <c r="R18" s="30"/>
      <c r="S18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:IV16384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56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13</v>
      </c>
      <c r="B4" s="23" t="s">
        <v>23</v>
      </c>
      <c r="C4" s="23" t="s">
        <v>20</v>
      </c>
      <c r="D4" s="23" t="s">
        <v>22</v>
      </c>
      <c r="E4" s="16">
        <f>586417+5160+3100</f>
        <v>594677</v>
      </c>
      <c r="F4" s="19">
        <f aca="true" t="shared" si="0" ref="F4:F9">E4-(E4/1.12)</f>
        <v>63715.39285714296</v>
      </c>
      <c r="G4" s="19">
        <f aca="true" t="shared" si="1" ref="G4:G9">J4*132</f>
        <v>0</v>
      </c>
      <c r="H4" s="6">
        <f aca="true" t="shared" si="2" ref="H4:H9">E4/12</f>
        <v>49556.416666666664</v>
      </c>
      <c r="I4" s="6"/>
      <c r="J4" s="6">
        <v>0</v>
      </c>
      <c r="K4" s="19">
        <f aca="true" t="shared" si="3" ref="K4:K9">J4*146</f>
        <v>0</v>
      </c>
      <c r="L4" s="24">
        <f aca="true" t="shared" si="4" ref="L4:L9">(E4-K4)/12</f>
        <v>49556.416666666664</v>
      </c>
      <c r="M4" s="25">
        <f aca="true" t="shared" si="5" ref="M4:M9">E4/1752</f>
        <v>339.4275114155251</v>
      </c>
      <c r="N4" s="25">
        <f aca="true" t="shared" si="6" ref="N4:N9">M4*1.65</f>
        <v>560.0553938356163</v>
      </c>
      <c r="O4" s="25">
        <f aca="true" t="shared" si="7" ref="O4:O18">(E4-(783*146))/1950</f>
        <v>246.3379487179487</v>
      </c>
    </row>
    <row r="5" spans="1:15" ht="10.5" customHeight="1">
      <c r="A5" s="4" t="s">
        <v>3</v>
      </c>
      <c r="B5" s="23"/>
      <c r="C5" s="23" t="s">
        <v>21</v>
      </c>
      <c r="D5" s="23"/>
      <c r="E5" s="16">
        <f>598933+5160+3100</f>
        <v>607193</v>
      </c>
      <c r="F5" s="19">
        <f t="shared" si="0"/>
        <v>65056.39285714296</v>
      </c>
      <c r="G5" s="19">
        <f t="shared" si="1"/>
        <v>0</v>
      </c>
      <c r="H5" s="6">
        <f t="shared" si="2"/>
        <v>50599.416666666664</v>
      </c>
      <c r="I5" s="6"/>
      <c r="J5" s="6">
        <v>0</v>
      </c>
      <c r="K5" s="19">
        <f t="shared" si="3"/>
        <v>0</v>
      </c>
      <c r="L5" s="24">
        <f t="shared" si="4"/>
        <v>50599.416666666664</v>
      </c>
      <c r="M5" s="25">
        <f t="shared" si="5"/>
        <v>346.57134703196346</v>
      </c>
      <c r="N5" s="25">
        <f t="shared" si="6"/>
        <v>571.8427226027396</v>
      </c>
      <c r="O5" s="25">
        <f t="shared" si="7"/>
        <v>252.75641025641025</v>
      </c>
    </row>
    <row r="6" spans="1:15" ht="10.5" customHeight="1">
      <c r="A6" s="4" t="s">
        <v>14</v>
      </c>
      <c r="B6" s="23" t="s">
        <v>25</v>
      </c>
      <c r="C6" s="23" t="s">
        <v>28</v>
      </c>
      <c r="D6" s="23" t="s">
        <v>27</v>
      </c>
      <c r="E6" s="16">
        <f>611448+5160+3100</f>
        <v>619708</v>
      </c>
      <c r="F6" s="19">
        <f t="shared" si="0"/>
        <v>66397.2857142858</v>
      </c>
      <c r="G6" s="19">
        <f t="shared" si="1"/>
        <v>0</v>
      </c>
      <c r="H6" s="6">
        <f t="shared" si="2"/>
        <v>51642.333333333336</v>
      </c>
      <c r="I6" s="6"/>
      <c r="J6" s="6">
        <v>0</v>
      </c>
      <c r="K6" s="19">
        <f t="shared" si="3"/>
        <v>0</v>
      </c>
      <c r="L6" s="24">
        <f t="shared" si="4"/>
        <v>51642.333333333336</v>
      </c>
      <c r="M6" s="25">
        <f t="shared" si="5"/>
        <v>353.7146118721461</v>
      </c>
      <c r="N6" s="25">
        <f t="shared" si="6"/>
        <v>583.629109589041</v>
      </c>
      <c r="O6" s="25">
        <f t="shared" si="7"/>
        <v>259.174358974359</v>
      </c>
    </row>
    <row r="7" spans="1:15" ht="10.5" customHeight="1">
      <c r="A7" s="4" t="s">
        <v>15</v>
      </c>
      <c r="B7" s="23" t="s">
        <v>26</v>
      </c>
      <c r="C7" s="23" t="s">
        <v>24</v>
      </c>
      <c r="D7" s="23"/>
      <c r="E7" s="16">
        <f>623965+5160+3100</f>
        <v>632225</v>
      </c>
      <c r="F7" s="19">
        <f t="shared" si="0"/>
        <v>67738.39285714296</v>
      </c>
      <c r="G7" s="19">
        <f t="shared" si="1"/>
        <v>0</v>
      </c>
      <c r="H7" s="6">
        <f t="shared" si="2"/>
        <v>52685.416666666664</v>
      </c>
      <c r="I7" s="6"/>
      <c r="J7" s="6">
        <v>0</v>
      </c>
      <c r="K7" s="19">
        <f t="shared" si="3"/>
        <v>0</v>
      </c>
      <c r="L7" s="24">
        <f t="shared" si="4"/>
        <v>52685.416666666664</v>
      </c>
      <c r="M7" s="25">
        <f t="shared" si="5"/>
        <v>360.8590182648402</v>
      </c>
      <c r="N7" s="25">
        <f t="shared" si="6"/>
        <v>595.4173801369863</v>
      </c>
      <c r="O7" s="25">
        <f t="shared" si="7"/>
        <v>265.5933333333333</v>
      </c>
    </row>
    <row r="8" spans="1:15" ht="10.5" customHeight="1">
      <c r="A8" s="4" t="s">
        <v>16</v>
      </c>
      <c r="B8" s="23" t="s">
        <v>29</v>
      </c>
      <c r="C8" s="23"/>
      <c r="D8" s="23"/>
      <c r="E8" s="16">
        <f>640371+5160+3100</f>
        <v>648631</v>
      </c>
      <c r="F8" s="19">
        <f t="shared" si="0"/>
        <v>69496.17857142864</v>
      </c>
      <c r="G8" s="19">
        <f t="shared" si="1"/>
        <v>0</v>
      </c>
      <c r="H8" s="6">
        <f t="shared" si="2"/>
        <v>54052.583333333336</v>
      </c>
      <c r="I8" s="6"/>
      <c r="J8" s="6">
        <v>0</v>
      </c>
      <c r="K8" s="19">
        <f t="shared" si="3"/>
        <v>0</v>
      </c>
      <c r="L8" s="24">
        <f t="shared" si="4"/>
        <v>54052.583333333336</v>
      </c>
      <c r="M8" s="25">
        <f t="shared" si="5"/>
        <v>370.2231735159817</v>
      </c>
      <c r="N8" s="25">
        <f t="shared" si="6"/>
        <v>610.8682363013698</v>
      </c>
      <c r="O8" s="25">
        <f t="shared" si="7"/>
        <v>274.00666666666666</v>
      </c>
    </row>
    <row r="9" spans="1:15" ht="10.5" customHeight="1">
      <c r="A9" s="4" t="s">
        <v>30</v>
      </c>
      <c r="B9" s="23"/>
      <c r="C9" s="23"/>
      <c r="D9" s="23"/>
      <c r="E9" s="16">
        <f>656219+5160+3100</f>
        <v>664479</v>
      </c>
      <c r="F9" s="19">
        <f t="shared" si="0"/>
        <v>71194.17857142864</v>
      </c>
      <c r="G9" s="19">
        <f t="shared" si="1"/>
        <v>0</v>
      </c>
      <c r="H9" s="6">
        <f t="shared" si="2"/>
        <v>55373.25</v>
      </c>
      <c r="I9" s="6"/>
      <c r="J9" s="6">
        <v>0</v>
      </c>
      <c r="K9" s="19">
        <f t="shared" si="3"/>
        <v>0</v>
      </c>
      <c r="L9" s="24">
        <f t="shared" si="4"/>
        <v>55373.25</v>
      </c>
      <c r="M9" s="25">
        <f t="shared" si="5"/>
        <v>379.26883561643837</v>
      </c>
      <c r="N9" s="25">
        <f t="shared" si="6"/>
        <v>625.7935787671232</v>
      </c>
      <c r="O9" s="25">
        <f t="shared" si="7"/>
        <v>282.13384615384615</v>
      </c>
    </row>
    <row r="10" spans="1:15" ht="10.5" customHeight="1">
      <c r="A10" s="4" t="s">
        <v>35</v>
      </c>
      <c r="B10" s="23"/>
      <c r="C10" s="23"/>
      <c r="D10" s="23"/>
      <c r="E10" s="16">
        <f>669719+5160+3100</f>
        <v>677979</v>
      </c>
      <c r="F10" s="19">
        <f>E10-(E10/1.12)</f>
        <v>72640.60714285716</v>
      </c>
      <c r="G10" s="19">
        <f>J10*132</f>
        <v>0</v>
      </c>
      <c r="H10" s="6">
        <f>E10/12</f>
        <v>56498.25</v>
      </c>
      <c r="I10" s="6"/>
      <c r="J10" s="6">
        <v>0</v>
      </c>
      <c r="K10" s="19">
        <f>J10*146</f>
        <v>0</v>
      </c>
      <c r="L10" s="24">
        <f>(E10-K10)/12</f>
        <v>56498.25</v>
      </c>
      <c r="M10" s="25">
        <f>E10/1752</f>
        <v>386.9743150684931</v>
      </c>
      <c r="N10" s="25">
        <f>M10*1.65</f>
        <v>638.5076198630136</v>
      </c>
      <c r="O10" s="25">
        <f t="shared" si="7"/>
        <v>289.05692307692306</v>
      </c>
    </row>
    <row r="11" spans="1:15" ht="10.5" customHeight="1">
      <c r="A11" s="4"/>
      <c r="B11" s="23"/>
      <c r="C11" s="23"/>
      <c r="D11" s="23"/>
      <c r="E11" s="20"/>
      <c r="F11" s="16"/>
      <c r="G11" s="16"/>
      <c r="H11" s="27"/>
      <c r="I11" s="28"/>
      <c r="J11" s="6"/>
      <c r="K11" s="19"/>
      <c r="L11" s="24"/>
      <c r="M11" s="25"/>
      <c r="N11" s="25"/>
      <c r="O11" s="25"/>
    </row>
    <row r="12" spans="1:19" ht="10.5" customHeight="1">
      <c r="A12" s="4" t="s">
        <v>40</v>
      </c>
      <c r="B12" s="38" t="s">
        <v>37</v>
      </c>
      <c r="C12" s="23" t="s">
        <v>20</v>
      </c>
      <c r="D12" s="23" t="s">
        <v>48</v>
      </c>
      <c r="E12" s="16">
        <f>622050+5160+3100</f>
        <v>630310</v>
      </c>
      <c r="F12" s="19">
        <f aca="true" t="shared" si="8" ref="F12:F18">E12-(E12/1.12)</f>
        <v>67533.21428571432</v>
      </c>
      <c r="G12" s="19">
        <f aca="true" t="shared" si="9" ref="G12:G17">J12*132</f>
        <v>0</v>
      </c>
      <c r="H12" s="6">
        <f aca="true" t="shared" si="10" ref="H12:H18">E12/12</f>
        <v>52525.833333333336</v>
      </c>
      <c r="I12" s="28"/>
      <c r="J12" s="6">
        <v>0</v>
      </c>
      <c r="K12" s="28">
        <f aca="true" t="shared" si="11" ref="K12:K18">892+14+9</f>
        <v>915</v>
      </c>
      <c r="L12" s="19">
        <f>J12*146</f>
        <v>0</v>
      </c>
      <c r="M12" s="25">
        <f aca="true" t="shared" si="12" ref="M12:M18">E12/1752</f>
        <v>359.7659817351598</v>
      </c>
      <c r="N12" s="25">
        <f aca="true" t="shared" si="13" ref="N12:N18">M12*1.65</f>
        <v>593.6138698630136</v>
      </c>
      <c r="O12" s="25">
        <f t="shared" si="7"/>
        <v>264.61128205128205</v>
      </c>
      <c r="P12" s="25"/>
      <c r="Q12" s="30"/>
      <c r="R12" s="30"/>
      <c r="S12" s="30"/>
    </row>
    <row r="13" spans="1:19" ht="10.5" customHeight="1">
      <c r="A13" s="4" t="s">
        <v>41</v>
      </c>
      <c r="B13" s="23"/>
      <c r="C13" s="23" t="s">
        <v>47</v>
      </c>
      <c r="D13" s="23"/>
      <c r="E13" s="16">
        <f>634972+5160+3100</f>
        <v>643232</v>
      </c>
      <c r="F13" s="19">
        <f t="shared" si="8"/>
        <v>68917.71428571432</v>
      </c>
      <c r="G13" s="19">
        <f t="shared" si="9"/>
        <v>0</v>
      </c>
      <c r="H13" s="6">
        <f t="shared" si="10"/>
        <v>53602.666666666664</v>
      </c>
      <c r="I13" s="28"/>
      <c r="J13" s="6">
        <v>0</v>
      </c>
      <c r="K13" s="28">
        <f t="shared" si="11"/>
        <v>915</v>
      </c>
      <c r="L13" s="19">
        <f>J13*146</f>
        <v>0</v>
      </c>
      <c r="M13" s="25">
        <f t="shared" si="12"/>
        <v>367.1415525114155</v>
      </c>
      <c r="N13" s="25">
        <f t="shared" si="13"/>
        <v>605.7835616438356</v>
      </c>
      <c r="O13" s="25">
        <f t="shared" si="7"/>
        <v>271.2379487179487</v>
      </c>
      <c r="P13" s="25"/>
      <c r="Q13" s="30"/>
      <c r="R13" s="30"/>
      <c r="S13" s="30"/>
    </row>
    <row r="14" spans="1:19" ht="10.5" customHeight="1">
      <c r="A14" s="4" t="s">
        <v>42</v>
      </c>
      <c r="B14" s="23"/>
      <c r="C14" s="30"/>
      <c r="D14" s="26"/>
      <c r="E14" s="16">
        <f>647895+5160+3100</f>
        <v>656155</v>
      </c>
      <c r="F14" s="19">
        <f t="shared" si="8"/>
        <v>70302.32142857148</v>
      </c>
      <c r="G14" s="19">
        <f t="shared" si="9"/>
        <v>0</v>
      </c>
      <c r="H14" s="6">
        <f t="shared" si="10"/>
        <v>54679.583333333336</v>
      </c>
      <c r="I14" s="28"/>
      <c r="J14" s="6">
        <v>0</v>
      </c>
      <c r="K14" s="28">
        <f t="shared" si="11"/>
        <v>915</v>
      </c>
      <c r="L14" s="19">
        <f>J14*146</f>
        <v>0</v>
      </c>
      <c r="M14" s="25">
        <f t="shared" si="12"/>
        <v>374.51769406392697</v>
      </c>
      <c r="N14" s="25">
        <f t="shared" si="13"/>
        <v>617.9541952054794</v>
      </c>
      <c r="O14" s="25">
        <f t="shared" si="7"/>
        <v>277.8651282051282</v>
      </c>
      <c r="P14" s="25"/>
      <c r="Q14" s="30"/>
      <c r="R14" s="30"/>
      <c r="S14" s="30"/>
    </row>
    <row r="15" spans="1:19" ht="10.5" customHeight="1">
      <c r="A15" s="4" t="s">
        <v>43</v>
      </c>
      <c r="B15" s="23"/>
      <c r="C15" s="30"/>
      <c r="D15" s="26"/>
      <c r="E15" s="16">
        <f>664342+5160+3100</f>
        <v>672602</v>
      </c>
      <c r="F15" s="19">
        <f t="shared" si="8"/>
        <v>72064.5</v>
      </c>
      <c r="G15" s="19">
        <f t="shared" si="9"/>
        <v>0</v>
      </c>
      <c r="H15" s="6">
        <f t="shared" si="10"/>
        <v>56050.166666666664</v>
      </c>
      <c r="I15" s="28"/>
      <c r="J15" s="6">
        <v>0</v>
      </c>
      <c r="K15" s="28">
        <f t="shared" si="11"/>
        <v>915</v>
      </c>
      <c r="L15" s="19">
        <f>J15*146</f>
        <v>0</v>
      </c>
      <c r="M15" s="25">
        <f t="shared" si="12"/>
        <v>383.9052511415525</v>
      </c>
      <c r="N15" s="25">
        <f t="shared" si="13"/>
        <v>633.4436643835617</v>
      </c>
      <c r="O15" s="25">
        <f t="shared" si="7"/>
        <v>286.2994871794872</v>
      </c>
      <c r="P15" s="25"/>
      <c r="Q15" s="30"/>
      <c r="R15" s="30"/>
      <c r="S15" s="30"/>
    </row>
    <row r="16" spans="1:19" ht="10.5" customHeight="1">
      <c r="A16" s="4" t="s">
        <v>44</v>
      </c>
      <c r="B16" s="23"/>
      <c r="C16" s="30"/>
      <c r="D16" s="26"/>
      <c r="E16" s="16">
        <f>680189+5160+3100</f>
        <v>688449</v>
      </c>
      <c r="F16" s="19">
        <f t="shared" si="8"/>
        <v>73762.39285714296</v>
      </c>
      <c r="G16" s="19">
        <f t="shared" si="9"/>
        <v>0</v>
      </c>
      <c r="H16" s="6">
        <f t="shared" si="10"/>
        <v>57370.75</v>
      </c>
      <c r="I16" s="28"/>
      <c r="J16" s="6">
        <v>0</v>
      </c>
      <c r="K16" s="28">
        <f t="shared" si="11"/>
        <v>915</v>
      </c>
      <c r="L16" s="19">
        <f>J16*146</f>
        <v>0</v>
      </c>
      <c r="M16" s="25">
        <f t="shared" si="12"/>
        <v>392.9503424657534</v>
      </c>
      <c r="N16" s="25">
        <f t="shared" si="13"/>
        <v>648.3680650684931</v>
      </c>
      <c r="O16" s="25">
        <f t="shared" si="7"/>
        <v>294.42615384615385</v>
      </c>
      <c r="P16" s="25"/>
      <c r="Q16" s="30"/>
      <c r="R16" s="30"/>
      <c r="S16" s="30"/>
    </row>
    <row r="17" spans="1:19" ht="10.5" customHeight="1">
      <c r="A17" s="4" t="s">
        <v>45</v>
      </c>
      <c r="B17" s="23"/>
      <c r="C17" s="30"/>
      <c r="D17" s="26"/>
      <c r="E17" s="16">
        <f>696036+5160+3100</f>
        <v>704296</v>
      </c>
      <c r="F17" s="19">
        <f t="shared" si="8"/>
        <v>75460.2857142858</v>
      </c>
      <c r="G17" s="19">
        <f t="shared" si="9"/>
        <v>0</v>
      </c>
      <c r="H17" s="6">
        <f t="shared" si="10"/>
        <v>58691.333333333336</v>
      </c>
      <c r="I17" s="28"/>
      <c r="J17" s="6">
        <v>0</v>
      </c>
      <c r="K17" s="28">
        <f t="shared" si="11"/>
        <v>915</v>
      </c>
      <c r="L17" s="19"/>
      <c r="M17" s="25">
        <f t="shared" si="12"/>
        <v>401.99543378995435</v>
      </c>
      <c r="N17" s="25">
        <f t="shared" si="13"/>
        <v>663.2924657534246</v>
      </c>
      <c r="O17" s="25">
        <f t="shared" si="7"/>
        <v>302.5528205128205</v>
      </c>
      <c r="P17" s="25"/>
      <c r="Q17" s="30"/>
      <c r="R17" s="30"/>
      <c r="S17" s="30"/>
    </row>
    <row r="18" spans="1:19" ht="10.5" customHeight="1">
      <c r="A18" s="4" t="s">
        <v>46</v>
      </c>
      <c r="B18" s="23"/>
      <c r="C18" s="30"/>
      <c r="D18" s="26"/>
      <c r="E18" s="16">
        <f>709536+5160+3100</f>
        <v>717796</v>
      </c>
      <c r="F18" s="19">
        <f t="shared" si="8"/>
        <v>76906.71428571432</v>
      </c>
      <c r="G18" s="19">
        <f>J18*132</f>
        <v>0</v>
      </c>
      <c r="H18" s="6">
        <f t="shared" si="10"/>
        <v>59816.333333333336</v>
      </c>
      <c r="I18" s="28"/>
      <c r="J18" s="6">
        <v>0</v>
      </c>
      <c r="K18" s="28">
        <f t="shared" si="11"/>
        <v>915</v>
      </c>
      <c r="L18" s="19"/>
      <c r="M18" s="25">
        <f t="shared" si="12"/>
        <v>409.7009132420091</v>
      </c>
      <c r="N18" s="25">
        <f t="shared" si="13"/>
        <v>676.006506849315</v>
      </c>
      <c r="O18" s="25">
        <f t="shared" si="7"/>
        <v>309.4758974358974</v>
      </c>
      <c r="P18" s="25"/>
      <c r="Q18" s="30"/>
      <c r="R18" s="30"/>
      <c r="S18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:IV16384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57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13</v>
      </c>
      <c r="B4" s="23" t="s">
        <v>23</v>
      </c>
      <c r="C4" s="23" t="s">
        <v>20</v>
      </c>
      <c r="D4" s="23" t="s">
        <v>22</v>
      </c>
      <c r="E4" s="16">
        <f>586417+5160+3100+9100</f>
        <v>603777</v>
      </c>
      <c r="F4" s="19">
        <f aca="true" t="shared" si="0" ref="F4:F9">E4-(E4/1.12)</f>
        <v>64690.39285714296</v>
      </c>
      <c r="G4" s="19">
        <f aca="true" t="shared" si="1" ref="G4:G9">J4*132</f>
        <v>0</v>
      </c>
      <c r="H4" s="6">
        <f aca="true" t="shared" si="2" ref="H4:H9">E4/12</f>
        <v>50314.75</v>
      </c>
      <c r="I4" s="6"/>
      <c r="J4" s="6">
        <v>0</v>
      </c>
      <c r="K4" s="19">
        <f aca="true" t="shared" si="3" ref="K4:K9">J4*146</f>
        <v>0</v>
      </c>
      <c r="L4" s="24">
        <f aca="true" t="shared" si="4" ref="L4:L9">(E4-K4)/12</f>
        <v>50314.75</v>
      </c>
      <c r="M4" s="25">
        <f aca="true" t="shared" si="5" ref="M4:M9">E4/1752</f>
        <v>344.62157534246575</v>
      </c>
      <c r="N4" s="25">
        <f aca="true" t="shared" si="6" ref="N4:N9">M4*1.65</f>
        <v>568.6255993150685</v>
      </c>
      <c r="O4" s="25">
        <f>(E4-(803*146))/1950</f>
        <v>249.50717948717949</v>
      </c>
    </row>
    <row r="5" spans="1:15" ht="10.5" customHeight="1">
      <c r="A5" s="4" t="s">
        <v>3</v>
      </c>
      <c r="B5" s="23"/>
      <c r="C5" s="23" t="s">
        <v>21</v>
      </c>
      <c r="D5" s="23"/>
      <c r="E5" s="16">
        <f>598933+5160+3100+9100</f>
        <v>616293</v>
      </c>
      <c r="F5" s="19">
        <f t="shared" si="0"/>
        <v>66031.39285714296</v>
      </c>
      <c r="G5" s="19">
        <f t="shared" si="1"/>
        <v>0</v>
      </c>
      <c r="H5" s="6">
        <f t="shared" si="2"/>
        <v>51357.75</v>
      </c>
      <c r="I5" s="6"/>
      <c r="J5" s="6">
        <v>0</v>
      </c>
      <c r="K5" s="19">
        <f t="shared" si="3"/>
        <v>0</v>
      </c>
      <c r="L5" s="24">
        <f t="shared" si="4"/>
        <v>51357.75</v>
      </c>
      <c r="M5" s="25">
        <f t="shared" si="5"/>
        <v>351.7654109589041</v>
      </c>
      <c r="N5" s="25">
        <f t="shared" si="6"/>
        <v>580.4129280821918</v>
      </c>
      <c r="O5" s="25">
        <f aca="true" t="shared" si="7" ref="O5:O18">(E5-(803*146))/1950</f>
        <v>255.92564102564103</v>
      </c>
    </row>
    <row r="6" spans="1:15" ht="10.5" customHeight="1">
      <c r="A6" s="4" t="s">
        <v>14</v>
      </c>
      <c r="B6" s="23" t="s">
        <v>25</v>
      </c>
      <c r="C6" s="23" t="s">
        <v>28</v>
      </c>
      <c r="D6" s="23" t="s">
        <v>27</v>
      </c>
      <c r="E6" s="16">
        <f>611448+5160+3100+9100</f>
        <v>628808</v>
      </c>
      <c r="F6" s="19">
        <f t="shared" si="0"/>
        <v>67372.2857142858</v>
      </c>
      <c r="G6" s="19">
        <f t="shared" si="1"/>
        <v>0</v>
      </c>
      <c r="H6" s="6">
        <f t="shared" si="2"/>
        <v>52400.666666666664</v>
      </c>
      <c r="I6" s="6"/>
      <c r="J6" s="6">
        <v>0</v>
      </c>
      <c r="K6" s="19">
        <f t="shared" si="3"/>
        <v>0</v>
      </c>
      <c r="L6" s="24">
        <f t="shared" si="4"/>
        <v>52400.666666666664</v>
      </c>
      <c r="M6" s="25">
        <f t="shared" si="5"/>
        <v>358.9086757990868</v>
      </c>
      <c r="N6" s="25">
        <f t="shared" si="6"/>
        <v>592.1993150684932</v>
      </c>
      <c r="O6" s="25">
        <f t="shared" si="7"/>
        <v>262.34358974358975</v>
      </c>
    </row>
    <row r="7" spans="1:15" ht="10.5" customHeight="1">
      <c r="A7" s="4" t="s">
        <v>15</v>
      </c>
      <c r="B7" s="23" t="s">
        <v>26</v>
      </c>
      <c r="C7" s="23" t="s">
        <v>24</v>
      </c>
      <c r="D7" s="23"/>
      <c r="E7" s="16">
        <f>623965+5160+3100+9100</f>
        <v>641325</v>
      </c>
      <c r="F7" s="19">
        <f t="shared" si="0"/>
        <v>68713.39285714296</v>
      </c>
      <c r="G7" s="19">
        <f t="shared" si="1"/>
        <v>0</v>
      </c>
      <c r="H7" s="6">
        <f t="shared" si="2"/>
        <v>53443.75</v>
      </c>
      <c r="I7" s="6"/>
      <c r="J7" s="6">
        <v>0</v>
      </c>
      <c r="K7" s="19">
        <f t="shared" si="3"/>
        <v>0</v>
      </c>
      <c r="L7" s="24">
        <f t="shared" si="4"/>
        <v>53443.75</v>
      </c>
      <c r="M7" s="25">
        <f t="shared" si="5"/>
        <v>366.05308219178085</v>
      </c>
      <c r="N7" s="25">
        <f t="shared" si="6"/>
        <v>603.9875856164383</v>
      </c>
      <c r="O7" s="25">
        <f t="shared" si="7"/>
        <v>268.7625641025641</v>
      </c>
    </row>
    <row r="8" spans="1:15" ht="10.5" customHeight="1">
      <c r="A8" s="4" t="s">
        <v>16</v>
      </c>
      <c r="B8" s="23" t="s">
        <v>29</v>
      </c>
      <c r="C8" s="23"/>
      <c r="D8" s="23"/>
      <c r="E8" s="16">
        <f>640371+5160+3100+9100</f>
        <v>657731</v>
      </c>
      <c r="F8" s="19">
        <f t="shared" si="0"/>
        <v>70471.17857142864</v>
      </c>
      <c r="G8" s="19">
        <f t="shared" si="1"/>
        <v>0</v>
      </c>
      <c r="H8" s="6">
        <f t="shared" si="2"/>
        <v>54810.916666666664</v>
      </c>
      <c r="I8" s="6"/>
      <c r="J8" s="6">
        <v>0</v>
      </c>
      <c r="K8" s="19">
        <f t="shared" si="3"/>
        <v>0</v>
      </c>
      <c r="L8" s="24">
        <f t="shared" si="4"/>
        <v>54810.916666666664</v>
      </c>
      <c r="M8" s="25">
        <f t="shared" si="5"/>
        <v>375.4172374429224</v>
      </c>
      <c r="N8" s="25">
        <f t="shared" si="6"/>
        <v>619.4384417808219</v>
      </c>
      <c r="O8" s="25">
        <f t="shared" si="7"/>
        <v>277.1758974358974</v>
      </c>
    </row>
    <row r="9" spans="1:15" ht="10.5" customHeight="1">
      <c r="A9" s="4" t="s">
        <v>30</v>
      </c>
      <c r="B9" s="23"/>
      <c r="C9" s="23"/>
      <c r="D9" s="23"/>
      <c r="E9" s="16">
        <f>656219+5160+3100+9100</f>
        <v>673579</v>
      </c>
      <c r="F9" s="19">
        <f t="shared" si="0"/>
        <v>72169.17857142864</v>
      </c>
      <c r="G9" s="19">
        <f t="shared" si="1"/>
        <v>0</v>
      </c>
      <c r="H9" s="6">
        <f t="shared" si="2"/>
        <v>56131.583333333336</v>
      </c>
      <c r="I9" s="6"/>
      <c r="J9" s="6">
        <v>0</v>
      </c>
      <c r="K9" s="19">
        <f t="shared" si="3"/>
        <v>0</v>
      </c>
      <c r="L9" s="24">
        <f t="shared" si="4"/>
        <v>56131.583333333336</v>
      </c>
      <c r="M9" s="25">
        <f t="shared" si="5"/>
        <v>384.462899543379</v>
      </c>
      <c r="N9" s="25">
        <f t="shared" si="6"/>
        <v>634.3637842465754</v>
      </c>
      <c r="O9" s="25">
        <f t="shared" si="7"/>
        <v>285.3030769230769</v>
      </c>
    </row>
    <row r="10" spans="1:15" ht="10.5" customHeight="1">
      <c r="A10" s="4" t="s">
        <v>35</v>
      </c>
      <c r="B10" s="23"/>
      <c r="C10" s="23"/>
      <c r="D10" s="23"/>
      <c r="E10" s="16">
        <f>669719+5160+3100+9100</f>
        <v>687079</v>
      </c>
      <c r="F10" s="19">
        <f>E10-(E10/1.12)</f>
        <v>73615.60714285716</v>
      </c>
      <c r="G10" s="19">
        <f>J10*132</f>
        <v>0</v>
      </c>
      <c r="H10" s="6">
        <f>E10/12</f>
        <v>57256.583333333336</v>
      </c>
      <c r="I10" s="6"/>
      <c r="J10" s="6">
        <v>0</v>
      </c>
      <c r="K10" s="19">
        <f>J10*146</f>
        <v>0</v>
      </c>
      <c r="L10" s="24">
        <f>(E10-K10)/12</f>
        <v>57256.583333333336</v>
      </c>
      <c r="M10" s="25">
        <f>E10/1752</f>
        <v>392.1683789954338</v>
      </c>
      <c r="N10" s="25">
        <f>M10*1.65</f>
        <v>647.0778253424658</v>
      </c>
      <c r="O10" s="25">
        <f t="shared" si="7"/>
        <v>292.22615384615386</v>
      </c>
    </row>
    <row r="11" spans="1:15" ht="10.5" customHeight="1">
      <c r="A11" s="4"/>
      <c r="B11" s="23"/>
      <c r="C11" s="23"/>
      <c r="D11" s="23"/>
      <c r="E11" s="20"/>
      <c r="F11" s="16"/>
      <c r="G11" s="16"/>
      <c r="H11" s="27"/>
      <c r="I11" s="28"/>
      <c r="J11" s="6"/>
      <c r="K11" s="19"/>
      <c r="L11" s="24"/>
      <c r="M11" s="25"/>
      <c r="N11" s="25"/>
      <c r="O11" s="25"/>
    </row>
    <row r="12" spans="1:19" ht="10.5" customHeight="1">
      <c r="A12" s="4" t="s">
        <v>40</v>
      </c>
      <c r="B12" s="38" t="s">
        <v>37</v>
      </c>
      <c r="C12" s="23" t="s">
        <v>20</v>
      </c>
      <c r="D12" s="23" t="s">
        <v>48</v>
      </c>
      <c r="E12" s="16">
        <f>622050+5160+3100+9100</f>
        <v>639410</v>
      </c>
      <c r="F12" s="19">
        <f aca="true" t="shared" si="8" ref="F12:F18">E12-(E12/1.12)</f>
        <v>68508.21428571432</v>
      </c>
      <c r="G12" s="19">
        <f aca="true" t="shared" si="9" ref="G12:G17">J12*132</f>
        <v>0</v>
      </c>
      <c r="H12" s="6">
        <f aca="true" t="shared" si="10" ref="H12:H18">E12/12</f>
        <v>53284.166666666664</v>
      </c>
      <c r="I12" s="28"/>
      <c r="J12" s="6">
        <v>0</v>
      </c>
      <c r="K12" s="28">
        <f aca="true" t="shared" si="11" ref="K12:K18">892+14+9</f>
        <v>915</v>
      </c>
      <c r="L12" s="19">
        <f>J12*146</f>
        <v>0</v>
      </c>
      <c r="M12" s="25">
        <f aca="true" t="shared" si="12" ref="M12:M18">E12/1752</f>
        <v>364.96004566210047</v>
      </c>
      <c r="N12" s="25">
        <f aca="true" t="shared" si="13" ref="N12:N18">M12*1.65</f>
        <v>602.1840753424657</v>
      </c>
      <c r="O12" s="25">
        <f t="shared" si="7"/>
        <v>267.7805128205128</v>
      </c>
      <c r="P12" s="25"/>
      <c r="Q12" s="30"/>
      <c r="R12" s="30"/>
      <c r="S12" s="30"/>
    </row>
    <row r="13" spans="1:19" ht="10.5" customHeight="1">
      <c r="A13" s="4" t="s">
        <v>41</v>
      </c>
      <c r="B13" s="23"/>
      <c r="C13" s="23" t="s">
        <v>47</v>
      </c>
      <c r="D13" s="23"/>
      <c r="E13" s="16">
        <f>634972+5160+3100+9100</f>
        <v>652332</v>
      </c>
      <c r="F13" s="19">
        <f t="shared" si="8"/>
        <v>69892.71428571432</v>
      </c>
      <c r="G13" s="19">
        <f t="shared" si="9"/>
        <v>0</v>
      </c>
      <c r="H13" s="6">
        <f t="shared" si="10"/>
        <v>54361</v>
      </c>
      <c r="I13" s="28"/>
      <c r="J13" s="6">
        <v>0</v>
      </c>
      <c r="K13" s="28">
        <f t="shared" si="11"/>
        <v>915</v>
      </c>
      <c r="L13" s="19">
        <f>J13*146</f>
        <v>0</v>
      </c>
      <c r="M13" s="25">
        <f t="shared" si="12"/>
        <v>372.33561643835617</v>
      </c>
      <c r="N13" s="25">
        <f t="shared" si="13"/>
        <v>614.3537671232876</v>
      </c>
      <c r="O13" s="25">
        <f t="shared" si="7"/>
        <v>274.40717948717946</v>
      </c>
      <c r="P13" s="25"/>
      <c r="Q13" s="30"/>
      <c r="R13" s="30"/>
      <c r="S13" s="30"/>
    </row>
    <row r="14" spans="1:19" ht="10.5" customHeight="1">
      <c r="A14" s="4" t="s">
        <v>42</v>
      </c>
      <c r="B14" s="23"/>
      <c r="C14" s="30"/>
      <c r="D14" s="26"/>
      <c r="E14" s="16">
        <f>647895+5160+3100+9100</f>
        <v>665255</v>
      </c>
      <c r="F14" s="19">
        <f t="shared" si="8"/>
        <v>71277.32142857148</v>
      </c>
      <c r="G14" s="19">
        <f t="shared" si="9"/>
        <v>0</v>
      </c>
      <c r="H14" s="6">
        <f t="shared" si="10"/>
        <v>55437.916666666664</v>
      </c>
      <c r="I14" s="28"/>
      <c r="J14" s="6">
        <v>0</v>
      </c>
      <c r="K14" s="28">
        <f t="shared" si="11"/>
        <v>915</v>
      </c>
      <c r="L14" s="19">
        <f>J14*146</f>
        <v>0</v>
      </c>
      <c r="M14" s="25">
        <f t="shared" si="12"/>
        <v>379.71175799086757</v>
      </c>
      <c r="N14" s="25">
        <f t="shared" si="13"/>
        <v>626.5244006849315</v>
      </c>
      <c r="O14" s="25">
        <f t="shared" si="7"/>
        <v>281.03435897435895</v>
      </c>
      <c r="P14" s="25"/>
      <c r="Q14" s="30"/>
      <c r="R14" s="30"/>
      <c r="S14" s="30"/>
    </row>
    <row r="15" spans="1:19" ht="10.5" customHeight="1">
      <c r="A15" s="4" t="s">
        <v>43</v>
      </c>
      <c r="B15" s="23"/>
      <c r="C15" s="30"/>
      <c r="D15" s="26"/>
      <c r="E15" s="16">
        <f>664342+5160+3100+9100</f>
        <v>681702</v>
      </c>
      <c r="F15" s="19">
        <f t="shared" si="8"/>
        <v>73039.5</v>
      </c>
      <c r="G15" s="19">
        <f t="shared" si="9"/>
        <v>0</v>
      </c>
      <c r="H15" s="6">
        <f t="shared" si="10"/>
        <v>56808.5</v>
      </c>
      <c r="I15" s="28"/>
      <c r="J15" s="6">
        <v>0</v>
      </c>
      <c r="K15" s="28">
        <f t="shared" si="11"/>
        <v>915</v>
      </c>
      <c r="L15" s="19">
        <f>J15*146</f>
        <v>0</v>
      </c>
      <c r="M15" s="25">
        <f t="shared" si="12"/>
        <v>389.0993150684931</v>
      </c>
      <c r="N15" s="25">
        <f t="shared" si="13"/>
        <v>642.0138698630136</v>
      </c>
      <c r="O15" s="25">
        <f t="shared" si="7"/>
        <v>289.46871794871794</v>
      </c>
      <c r="P15" s="25"/>
      <c r="Q15" s="30"/>
      <c r="R15" s="30"/>
      <c r="S15" s="30"/>
    </row>
    <row r="16" spans="1:19" ht="10.5" customHeight="1">
      <c r="A16" s="4" t="s">
        <v>44</v>
      </c>
      <c r="B16" s="23"/>
      <c r="C16" s="30"/>
      <c r="D16" s="26"/>
      <c r="E16" s="16">
        <f>680189+5160+3100+9100</f>
        <v>697549</v>
      </c>
      <c r="F16" s="19">
        <f t="shared" si="8"/>
        <v>74737.39285714296</v>
      </c>
      <c r="G16" s="19">
        <f t="shared" si="9"/>
        <v>0</v>
      </c>
      <c r="H16" s="6">
        <f t="shared" si="10"/>
        <v>58129.083333333336</v>
      </c>
      <c r="I16" s="28"/>
      <c r="J16" s="6">
        <v>0</v>
      </c>
      <c r="K16" s="28">
        <f t="shared" si="11"/>
        <v>915</v>
      </c>
      <c r="L16" s="19">
        <f>J16*146</f>
        <v>0</v>
      </c>
      <c r="M16" s="25">
        <f t="shared" si="12"/>
        <v>398.14440639269407</v>
      </c>
      <c r="N16" s="25">
        <f t="shared" si="13"/>
        <v>656.9382705479452</v>
      </c>
      <c r="O16" s="25">
        <f t="shared" si="7"/>
        <v>297.5953846153846</v>
      </c>
      <c r="P16" s="25"/>
      <c r="Q16" s="30"/>
      <c r="R16" s="30"/>
      <c r="S16" s="30"/>
    </row>
    <row r="17" spans="1:19" ht="10.5" customHeight="1">
      <c r="A17" s="4" t="s">
        <v>45</v>
      </c>
      <c r="B17" s="23"/>
      <c r="C17" s="30"/>
      <c r="D17" s="26"/>
      <c r="E17" s="16">
        <f>696036+5160+3100+9100</f>
        <v>713396</v>
      </c>
      <c r="F17" s="19">
        <f t="shared" si="8"/>
        <v>76435.2857142858</v>
      </c>
      <c r="G17" s="19">
        <f t="shared" si="9"/>
        <v>0</v>
      </c>
      <c r="H17" s="6">
        <f t="shared" si="10"/>
        <v>59449.666666666664</v>
      </c>
      <c r="I17" s="28"/>
      <c r="J17" s="6">
        <v>0</v>
      </c>
      <c r="K17" s="28">
        <f t="shared" si="11"/>
        <v>915</v>
      </c>
      <c r="L17" s="19"/>
      <c r="M17" s="25">
        <f t="shared" si="12"/>
        <v>407.189497716895</v>
      </c>
      <c r="N17" s="25">
        <f t="shared" si="13"/>
        <v>671.8626712328768</v>
      </c>
      <c r="O17" s="25">
        <f t="shared" si="7"/>
        <v>305.72205128205127</v>
      </c>
      <c r="P17" s="25"/>
      <c r="Q17" s="30"/>
      <c r="R17" s="30"/>
      <c r="S17" s="30"/>
    </row>
    <row r="18" spans="1:19" ht="10.5" customHeight="1">
      <c r="A18" s="4" t="s">
        <v>46</v>
      </c>
      <c r="B18" s="23"/>
      <c r="C18" s="30"/>
      <c r="D18" s="26"/>
      <c r="E18" s="16">
        <f>709536+5160+3100+9100</f>
        <v>726896</v>
      </c>
      <c r="F18" s="19">
        <f t="shared" si="8"/>
        <v>77881.71428571432</v>
      </c>
      <c r="G18" s="19">
        <f>J18*132</f>
        <v>0</v>
      </c>
      <c r="H18" s="6">
        <f t="shared" si="10"/>
        <v>60574.666666666664</v>
      </c>
      <c r="I18" s="28"/>
      <c r="J18" s="6">
        <v>0</v>
      </c>
      <c r="K18" s="28">
        <f t="shared" si="11"/>
        <v>915</v>
      </c>
      <c r="L18" s="19"/>
      <c r="M18" s="25">
        <f t="shared" si="12"/>
        <v>414.89497716894977</v>
      </c>
      <c r="N18" s="25">
        <f t="shared" si="13"/>
        <v>684.576712328767</v>
      </c>
      <c r="O18" s="25">
        <f t="shared" si="7"/>
        <v>312.64512820512823</v>
      </c>
      <c r="P18" s="25"/>
      <c r="Q18" s="30"/>
      <c r="R18" s="30"/>
      <c r="S18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:IV16384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58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13</v>
      </c>
      <c r="B4" s="23" t="s">
        <v>23</v>
      </c>
      <c r="C4" s="23" t="s">
        <v>20</v>
      </c>
      <c r="D4" s="23" t="s">
        <v>22</v>
      </c>
      <c r="E4" s="16">
        <f>586417+5160+3100+9100+7166</f>
        <v>610943</v>
      </c>
      <c r="F4" s="19">
        <f aca="true" t="shared" si="0" ref="F4:F9">E4-(E4/1.12)</f>
        <v>65458.17857142864</v>
      </c>
      <c r="G4" s="19">
        <f aca="true" t="shared" si="1" ref="G4:G9">J4*132</f>
        <v>0</v>
      </c>
      <c r="H4" s="6">
        <f aca="true" t="shared" si="2" ref="H4:H9">E4/12</f>
        <v>50911.916666666664</v>
      </c>
      <c r="I4" s="6"/>
      <c r="J4" s="6">
        <v>0</v>
      </c>
      <c r="K4" s="19">
        <f aca="true" t="shared" si="3" ref="K4:K9">J4*146</f>
        <v>0</v>
      </c>
      <c r="L4" s="24">
        <f aca="true" t="shared" si="4" ref="L4:L9">(E4-K4)/12</f>
        <v>50911.916666666664</v>
      </c>
      <c r="M4" s="25">
        <f aca="true" t="shared" si="5" ref="M4:M9">E4/1752</f>
        <v>348.71175799086757</v>
      </c>
      <c r="N4" s="25">
        <f aca="true" t="shared" si="6" ref="N4:N9">M4*1.65</f>
        <v>575.3744006849314</v>
      </c>
      <c r="O4" s="25">
        <f>(E4-(803*146))/1950</f>
        <v>253.18205128205128</v>
      </c>
    </row>
    <row r="5" spans="1:15" ht="10.5" customHeight="1">
      <c r="A5" s="4" t="s">
        <v>3</v>
      </c>
      <c r="B5" s="23"/>
      <c r="C5" s="23" t="s">
        <v>21</v>
      </c>
      <c r="D5" s="23"/>
      <c r="E5" s="16">
        <f>598933+5160+3100+9100+7166</f>
        <v>623459</v>
      </c>
      <c r="F5" s="19">
        <f t="shared" si="0"/>
        <v>66799.17857142864</v>
      </c>
      <c r="G5" s="19">
        <f t="shared" si="1"/>
        <v>0</v>
      </c>
      <c r="H5" s="6">
        <f t="shared" si="2"/>
        <v>51954.916666666664</v>
      </c>
      <c r="I5" s="6"/>
      <c r="J5" s="6">
        <v>0</v>
      </c>
      <c r="K5" s="19">
        <f t="shared" si="3"/>
        <v>0</v>
      </c>
      <c r="L5" s="24">
        <f t="shared" si="4"/>
        <v>51954.916666666664</v>
      </c>
      <c r="M5" s="25">
        <f t="shared" si="5"/>
        <v>355.85559360730593</v>
      </c>
      <c r="N5" s="25">
        <f t="shared" si="6"/>
        <v>587.1617294520547</v>
      </c>
      <c r="O5" s="25">
        <f aca="true" t="shared" si="7" ref="O5:O18">(E5-(803*146))/1950</f>
        <v>259.60051282051285</v>
      </c>
    </row>
    <row r="6" spans="1:15" ht="10.5" customHeight="1">
      <c r="A6" s="4" t="s">
        <v>14</v>
      </c>
      <c r="B6" s="23" t="s">
        <v>25</v>
      </c>
      <c r="C6" s="23" t="s">
        <v>28</v>
      </c>
      <c r="D6" s="23" t="s">
        <v>27</v>
      </c>
      <c r="E6" s="16">
        <f>611448+5160+3100+9100+7166</f>
        <v>635974</v>
      </c>
      <c r="F6" s="19">
        <f t="shared" si="0"/>
        <v>68140.07142857148</v>
      </c>
      <c r="G6" s="19">
        <f t="shared" si="1"/>
        <v>0</v>
      </c>
      <c r="H6" s="6">
        <f t="shared" si="2"/>
        <v>52997.833333333336</v>
      </c>
      <c r="I6" s="6"/>
      <c r="J6" s="6">
        <v>0</v>
      </c>
      <c r="K6" s="19">
        <f t="shared" si="3"/>
        <v>0</v>
      </c>
      <c r="L6" s="24">
        <f t="shared" si="4"/>
        <v>52997.833333333336</v>
      </c>
      <c r="M6" s="25">
        <f t="shared" si="5"/>
        <v>362.9988584474886</v>
      </c>
      <c r="N6" s="25">
        <f t="shared" si="6"/>
        <v>598.9481164383561</v>
      </c>
      <c r="O6" s="25">
        <f t="shared" si="7"/>
        <v>266.01846153846157</v>
      </c>
    </row>
    <row r="7" spans="1:15" ht="10.5" customHeight="1">
      <c r="A7" s="4" t="s">
        <v>15</v>
      </c>
      <c r="B7" s="23" t="s">
        <v>26</v>
      </c>
      <c r="C7" s="23" t="s">
        <v>24</v>
      </c>
      <c r="D7" s="23"/>
      <c r="E7" s="16">
        <f>623965+5160+3100+9100+7166</f>
        <v>648491</v>
      </c>
      <c r="F7" s="19">
        <f t="shared" si="0"/>
        <v>69481.17857142864</v>
      </c>
      <c r="G7" s="19">
        <f t="shared" si="1"/>
        <v>0</v>
      </c>
      <c r="H7" s="6">
        <f t="shared" si="2"/>
        <v>54040.916666666664</v>
      </c>
      <c r="I7" s="6"/>
      <c r="J7" s="6">
        <v>0</v>
      </c>
      <c r="K7" s="19">
        <f t="shared" si="3"/>
        <v>0</v>
      </c>
      <c r="L7" s="24">
        <f t="shared" si="4"/>
        <v>54040.916666666664</v>
      </c>
      <c r="M7" s="25">
        <f t="shared" si="5"/>
        <v>370.14326484018267</v>
      </c>
      <c r="N7" s="25">
        <f t="shared" si="6"/>
        <v>610.7363869863013</v>
      </c>
      <c r="O7" s="25">
        <f t="shared" si="7"/>
        <v>272.4374358974359</v>
      </c>
    </row>
    <row r="8" spans="1:15" ht="10.5" customHeight="1">
      <c r="A8" s="4" t="s">
        <v>16</v>
      </c>
      <c r="B8" s="23" t="s">
        <v>29</v>
      </c>
      <c r="C8" s="23"/>
      <c r="D8" s="23"/>
      <c r="E8" s="16">
        <f>640371+5160+3100+9100+7166</f>
        <v>664897</v>
      </c>
      <c r="F8" s="19">
        <f t="shared" si="0"/>
        <v>71238.96428571432</v>
      </c>
      <c r="G8" s="19">
        <f t="shared" si="1"/>
        <v>0</v>
      </c>
      <c r="H8" s="6">
        <f t="shared" si="2"/>
        <v>55408.083333333336</v>
      </c>
      <c r="I8" s="6"/>
      <c r="J8" s="6">
        <v>0</v>
      </c>
      <c r="K8" s="19">
        <f t="shared" si="3"/>
        <v>0</v>
      </c>
      <c r="L8" s="24">
        <f t="shared" si="4"/>
        <v>55408.083333333336</v>
      </c>
      <c r="M8" s="25">
        <f t="shared" si="5"/>
        <v>379.5074200913242</v>
      </c>
      <c r="N8" s="25">
        <f t="shared" si="6"/>
        <v>626.1872431506849</v>
      </c>
      <c r="O8" s="25">
        <f t="shared" si="7"/>
        <v>280.85076923076923</v>
      </c>
    </row>
    <row r="9" spans="1:15" ht="10.5" customHeight="1">
      <c r="A9" s="4" t="s">
        <v>30</v>
      </c>
      <c r="B9" s="23"/>
      <c r="C9" s="23"/>
      <c r="D9" s="23"/>
      <c r="E9" s="16">
        <f>656219+5160+3100+9100+7166</f>
        <v>680745</v>
      </c>
      <c r="F9" s="19">
        <f t="shared" si="0"/>
        <v>72936.96428571432</v>
      </c>
      <c r="G9" s="19">
        <f t="shared" si="1"/>
        <v>0</v>
      </c>
      <c r="H9" s="6">
        <f t="shared" si="2"/>
        <v>56728.75</v>
      </c>
      <c r="I9" s="6"/>
      <c r="J9" s="6">
        <v>0</v>
      </c>
      <c r="K9" s="19">
        <f t="shared" si="3"/>
        <v>0</v>
      </c>
      <c r="L9" s="24">
        <f t="shared" si="4"/>
        <v>56728.75</v>
      </c>
      <c r="M9" s="25">
        <f t="shared" si="5"/>
        <v>388.55308219178085</v>
      </c>
      <c r="N9" s="25">
        <f t="shared" si="6"/>
        <v>641.1125856164383</v>
      </c>
      <c r="O9" s="25">
        <f t="shared" si="7"/>
        <v>288.9779487179487</v>
      </c>
    </row>
    <row r="10" spans="1:15" ht="10.5" customHeight="1">
      <c r="A10" s="4" t="s">
        <v>35</v>
      </c>
      <c r="B10" s="23"/>
      <c r="C10" s="23"/>
      <c r="D10" s="23"/>
      <c r="E10" s="16">
        <f>669719+5160+3100+9100+7166</f>
        <v>694245</v>
      </c>
      <c r="F10" s="19">
        <f>E10-(E10/1.12)</f>
        <v>74383.39285714296</v>
      </c>
      <c r="G10" s="19">
        <f>J10*132</f>
        <v>0</v>
      </c>
      <c r="H10" s="6">
        <f>E10/12</f>
        <v>57853.75</v>
      </c>
      <c r="I10" s="6"/>
      <c r="J10" s="6">
        <v>0</v>
      </c>
      <c r="K10" s="19">
        <f>J10*146</f>
        <v>0</v>
      </c>
      <c r="L10" s="24">
        <f>(E10-K10)/12</f>
        <v>57853.75</v>
      </c>
      <c r="M10" s="25">
        <f>E10/1752</f>
        <v>396.2585616438356</v>
      </c>
      <c r="N10" s="25">
        <f>M10*1.65</f>
        <v>653.8266267123287</v>
      </c>
      <c r="O10" s="25">
        <f t="shared" si="7"/>
        <v>295.9010256410256</v>
      </c>
    </row>
    <row r="11" spans="1:15" ht="10.5" customHeight="1">
      <c r="A11" s="4"/>
      <c r="B11" s="23"/>
      <c r="C11" s="23"/>
      <c r="D11" s="23"/>
      <c r="E11" s="20"/>
      <c r="F11" s="16"/>
      <c r="G11" s="16"/>
      <c r="H11" s="27"/>
      <c r="I11" s="28"/>
      <c r="J11" s="6"/>
      <c r="K11" s="19"/>
      <c r="L11" s="24"/>
      <c r="M11" s="25"/>
      <c r="N11" s="25"/>
      <c r="O11" s="25"/>
    </row>
    <row r="12" spans="1:19" ht="10.5" customHeight="1">
      <c r="A12" s="4" t="s">
        <v>40</v>
      </c>
      <c r="B12" s="38" t="s">
        <v>37</v>
      </c>
      <c r="C12" s="23" t="s">
        <v>20</v>
      </c>
      <c r="D12" s="23" t="s">
        <v>48</v>
      </c>
      <c r="E12" s="16">
        <f>622050+5160+3100+9100+7166</f>
        <v>646576</v>
      </c>
      <c r="F12" s="19">
        <f aca="true" t="shared" si="8" ref="F12:F18">E12-(E12/1.12)</f>
        <v>69276</v>
      </c>
      <c r="G12" s="19">
        <f aca="true" t="shared" si="9" ref="G12:G17">J12*132</f>
        <v>0</v>
      </c>
      <c r="H12" s="6">
        <f aca="true" t="shared" si="10" ref="H12:H18">E12/12</f>
        <v>53881.333333333336</v>
      </c>
      <c r="I12" s="28"/>
      <c r="J12" s="6">
        <v>0</v>
      </c>
      <c r="K12" s="28">
        <f aca="true" t="shared" si="11" ref="K12:K18">892+14+9</f>
        <v>915</v>
      </c>
      <c r="L12" s="19">
        <f>J12*146</f>
        <v>0</v>
      </c>
      <c r="M12" s="25">
        <f aca="true" t="shared" si="12" ref="M12:M18">E12/1752</f>
        <v>369.0502283105023</v>
      </c>
      <c r="N12" s="25">
        <f aca="true" t="shared" si="13" ref="N12:N18">M12*1.65</f>
        <v>608.9328767123287</v>
      </c>
      <c r="O12" s="25">
        <f t="shared" si="7"/>
        <v>271.4553846153846</v>
      </c>
      <c r="P12" s="25"/>
      <c r="Q12" s="30"/>
      <c r="R12" s="30"/>
      <c r="S12" s="30"/>
    </row>
    <row r="13" spans="1:19" ht="10.5" customHeight="1">
      <c r="A13" s="4" t="s">
        <v>41</v>
      </c>
      <c r="B13" s="23"/>
      <c r="C13" s="23" t="s">
        <v>47</v>
      </c>
      <c r="D13" s="23"/>
      <c r="E13" s="16">
        <f>634972+5160+3100+9100+7166</f>
        <v>659498</v>
      </c>
      <c r="F13" s="19">
        <f t="shared" si="8"/>
        <v>70660.5</v>
      </c>
      <c r="G13" s="19">
        <f t="shared" si="9"/>
        <v>0</v>
      </c>
      <c r="H13" s="6">
        <f t="shared" si="10"/>
        <v>54958.166666666664</v>
      </c>
      <c r="I13" s="28"/>
      <c r="J13" s="6">
        <v>0</v>
      </c>
      <c r="K13" s="28">
        <f t="shared" si="11"/>
        <v>915</v>
      </c>
      <c r="L13" s="19">
        <f>J13*146</f>
        <v>0</v>
      </c>
      <c r="M13" s="25">
        <f t="shared" si="12"/>
        <v>376.425799086758</v>
      </c>
      <c r="N13" s="25">
        <f t="shared" si="13"/>
        <v>621.1025684931507</v>
      </c>
      <c r="O13" s="25">
        <f t="shared" si="7"/>
        <v>278.0820512820513</v>
      </c>
      <c r="P13" s="25"/>
      <c r="Q13" s="30"/>
      <c r="R13" s="30"/>
      <c r="S13" s="30"/>
    </row>
    <row r="14" spans="1:19" ht="10.5" customHeight="1">
      <c r="A14" s="4" t="s">
        <v>42</v>
      </c>
      <c r="B14" s="23"/>
      <c r="C14" s="30"/>
      <c r="D14" s="26"/>
      <c r="E14" s="16">
        <f>647895+5160+3100+9100+7166</f>
        <v>672421</v>
      </c>
      <c r="F14" s="19">
        <f t="shared" si="8"/>
        <v>72045.10714285716</v>
      </c>
      <c r="G14" s="19">
        <f t="shared" si="9"/>
        <v>0</v>
      </c>
      <c r="H14" s="6">
        <f t="shared" si="10"/>
        <v>56035.083333333336</v>
      </c>
      <c r="I14" s="28"/>
      <c r="J14" s="6">
        <v>0</v>
      </c>
      <c r="K14" s="28">
        <f t="shared" si="11"/>
        <v>915</v>
      </c>
      <c r="L14" s="19">
        <f>J14*146</f>
        <v>0</v>
      </c>
      <c r="M14" s="25">
        <f t="shared" si="12"/>
        <v>383.8019406392694</v>
      </c>
      <c r="N14" s="25">
        <f t="shared" si="13"/>
        <v>633.2732020547944</v>
      </c>
      <c r="O14" s="25">
        <f t="shared" si="7"/>
        <v>284.70923076923077</v>
      </c>
      <c r="P14" s="25"/>
      <c r="Q14" s="30"/>
      <c r="R14" s="30"/>
      <c r="S14" s="30"/>
    </row>
    <row r="15" spans="1:19" ht="10.5" customHeight="1">
      <c r="A15" s="4" t="s">
        <v>43</v>
      </c>
      <c r="B15" s="23"/>
      <c r="C15" s="30"/>
      <c r="D15" s="26"/>
      <c r="E15" s="16">
        <f>664342+5160+3100+9100+7166</f>
        <v>688868</v>
      </c>
      <c r="F15" s="19">
        <f t="shared" si="8"/>
        <v>73807.2857142858</v>
      </c>
      <c r="G15" s="19">
        <f t="shared" si="9"/>
        <v>0</v>
      </c>
      <c r="H15" s="6">
        <f t="shared" si="10"/>
        <v>57405.666666666664</v>
      </c>
      <c r="I15" s="28"/>
      <c r="J15" s="6">
        <v>0</v>
      </c>
      <c r="K15" s="28">
        <f t="shared" si="11"/>
        <v>915</v>
      </c>
      <c r="L15" s="19">
        <f>J15*146</f>
        <v>0</v>
      </c>
      <c r="M15" s="25">
        <f t="shared" si="12"/>
        <v>393.189497716895</v>
      </c>
      <c r="N15" s="25">
        <f t="shared" si="13"/>
        <v>648.7626712328768</v>
      </c>
      <c r="O15" s="25">
        <f t="shared" si="7"/>
        <v>293.14358974358976</v>
      </c>
      <c r="P15" s="25"/>
      <c r="Q15" s="30"/>
      <c r="R15" s="30"/>
      <c r="S15" s="30"/>
    </row>
    <row r="16" spans="1:19" ht="10.5" customHeight="1">
      <c r="A16" s="4" t="s">
        <v>44</v>
      </c>
      <c r="B16" s="23"/>
      <c r="C16" s="30"/>
      <c r="D16" s="26"/>
      <c r="E16" s="16">
        <f>680189+5160+3100+9100+7166</f>
        <v>704715</v>
      </c>
      <c r="F16" s="19">
        <f t="shared" si="8"/>
        <v>75505.17857142864</v>
      </c>
      <c r="G16" s="19">
        <f t="shared" si="9"/>
        <v>0</v>
      </c>
      <c r="H16" s="6">
        <f t="shared" si="10"/>
        <v>58726.25</v>
      </c>
      <c r="I16" s="28"/>
      <c r="J16" s="6">
        <v>0</v>
      </c>
      <c r="K16" s="28">
        <f t="shared" si="11"/>
        <v>915</v>
      </c>
      <c r="L16" s="19">
        <f>J16*146</f>
        <v>0</v>
      </c>
      <c r="M16" s="25">
        <f t="shared" si="12"/>
        <v>402.2345890410959</v>
      </c>
      <c r="N16" s="25">
        <f t="shared" si="13"/>
        <v>663.6870719178082</v>
      </c>
      <c r="O16" s="25">
        <f t="shared" si="7"/>
        <v>301.2702564102564</v>
      </c>
      <c r="P16" s="25"/>
      <c r="Q16" s="30"/>
      <c r="R16" s="30"/>
      <c r="S16" s="30"/>
    </row>
    <row r="17" spans="1:19" ht="10.5" customHeight="1">
      <c r="A17" s="4" t="s">
        <v>45</v>
      </c>
      <c r="B17" s="23"/>
      <c r="C17" s="30"/>
      <c r="D17" s="26"/>
      <c r="E17" s="16">
        <f>696036+5160+3100+9100+7166</f>
        <v>720562</v>
      </c>
      <c r="F17" s="19">
        <f t="shared" si="8"/>
        <v>77203.07142857148</v>
      </c>
      <c r="G17" s="19">
        <f t="shared" si="9"/>
        <v>0</v>
      </c>
      <c r="H17" s="6">
        <f t="shared" si="10"/>
        <v>60046.833333333336</v>
      </c>
      <c r="I17" s="28"/>
      <c r="J17" s="6">
        <v>0</v>
      </c>
      <c r="K17" s="28">
        <f t="shared" si="11"/>
        <v>915</v>
      </c>
      <c r="L17" s="19"/>
      <c r="M17" s="25">
        <f t="shared" si="12"/>
        <v>411.2796803652968</v>
      </c>
      <c r="N17" s="25">
        <f t="shared" si="13"/>
        <v>678.6114726027397</v>
      </c>
      <c r="O17" s="25">
        <f t="shared" si="7"/>
        <v>309.3969230769231</v>
      </c>
      <c r="P17" s="25"/>
      <c r="Q17" s="30"/>
      <c r="R17" s="30"/>
      <c r="S17" s="30"/>
    </row>
    <row r="18" spans="1:19" ht="10.5" customHeight="1">
      <c r="A18" s="4" t="s">
        <v>46</v>
      </c>
      <c r="B18" s="23"/>
      <c r="C18" s="30"/>
      <c r="D18" s="26"/>
      <c r="E18" s="16">
        <f>709536+5160+3100+9100+7166</f>
        <v>734062</v>
      </c>
      <c r="F18" s="19">
        <f t="shared" si="8"/>
        <v>78649.50000000012</v>
      </c>
      <c r="G18" s="19">
        <f>J18*132</f>
        <v>0</v>
      </c>
      <c r="H18" s="6">
        <f t="shared" si="10"/>
        <v>61171.833333333336</v>
      </c>
      <c r="I18" s="28"/>
      <c r="J18" s="6">
        <v>0</v>
      </c>
      <c r="K18" s="28">
        <f t="shared" si="11"/>
        <v>915</v>
      </c>
      <c r="L18" s="19"/>
      <c r="M18" s="25">
        <f t="shared" si="12"/>
        <v>418.9851598173516</v>
      </c>
      <c r="N18" s="25">
        <f t="shared" si="13"/>
        <v>691.3255136986301</v>
      </c>
      <c r="O18" s="25">
        <f t="shared" si="7"/>
        <v>316.32</v>
      </c>
      <c r="P18" s="25"/>
      <c r="Q18" s="30"/>
      <c r="R18" s="30"/>
      <c r="S18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H6" sqref="H6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59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13</v>
      </c>
      <c r="B4" s="23" t="s">
        <v>23</v>
      </c>
      <c r="C4" s="23" t="s">
        <v>20</v>
      </c>
      <c r="D4" s="23" t="s">
        <v>22</v>
      </c>
      <c r="E4" s="16">
        <f>586417+5160+3100+9100+7166</f>
        <v>610943</v>
      </c>
      <c r="F4" s="19">
        <f aca="true" t="shared" si="0" ref="F4:F9">E4-(E4/1.12)</f>
        <v>65458.17857142864</v>
      </c>
      <c r="G4" s="19">
        <f aca="true" t="shared" si="1" ref="G4:G9">J4*132</f>
        <v>0</v>
      </c>
      <c r="H4" s="6">
        <f aca="true" t="shared" si="2" ref="H4:H9">E4/12</f>
        <v>50911.916666666664</v>
      </c>
      <c r="I4" s="6"/>
      <c r="J4" s="6">
        <v>0</v>
      </c>
      <c r="K4" s="19">
        <f aca="true" t="shared" si="3" ref="K4:K9">J4*146</f>
        <v>0</v>
      </c>
      <c r="L4" s="24">
        <f aca="true" t="shared" si="4" ref="L4:L9">(E4-K4)/12</f>
        <v>50911.916666666664</v>
      </c>
      <c r="M4" s="25">
        <f aca="true" t="shared" si="5" ref="M4:M9">E4/1752</f>
        <v>348.71175799086757</v>
      </c>
      <c r="N4" s="25">
        <f aca="true" t="shared" si="6" ref="N4:N9">M4*1.65</f>
        <v>575.3744006849314</v>
      </c>
      <c r="O4" s="25">
        <f>(E4-(803*146))/1950</f>
        <v>253.18205128205128</v>
      </c>
    </row>
    <row r="5" spans="1:15" ht="10.5" customHeight="1">
      <c r="A5" s="4" t="s">
        <v>3</v>
      </c>
      <c r="B5" s="23"/>
      <c r="C5" s="23" t="s">
        <v>21</v>
      </c>
      <c r="D5" s="23"/>
      <c r="E5" s="16">
        <f>598933+5160+3100+9100+7166</f>
        <v>623459</v>
      </c>
      <c r="F5" s="19">
        <f t="shared" si="0"/>
        <v>66799.17857142864</v>
      </c>
      <c r="G5" s="19">
        <f t="shared" si="1"/>
        <v>0</v>
      </c>
      <c r="H5" s="6">
        <f t="shared" si="2"/>
        <v>51954.916666666664</v>
      </c>
      <c r="I5" s="6"/>
      <c r="J5" s="6">
        <v>0</v>
      </c>
      <c r="K5" s="19">
        <f t="shared" si="3"/>
        <v>0</v>
      </c>
      <c r="L5" s="24">
        <f t="shared" si="4"/>
        <v>51954.916666666664</v>
      </c>
      <c r="M5" s="25">
        <f t="shared" si="5"/>
        <v>355.85559360730593</v>
      </c>
      <c r="N5" s="25">
        <f t="shared" si="6"/>
        <v>587.1617294520547</v>
      </c>
      <c r="O5" s="25">
        <f aca="true" t="shared" si="7" ref="O5:O19">(E5-(803*146))/1950</f>
        <v>259.60051282051285</v>
      </c>
    </row>
    <row r="6" spans="1:15" ht="10.5" customHeight="1">
      <c r="A6" s="4" t="s">
        <v>14</v>
      </c>
      <c r="B6" s="23" t="s">
        <v>25</v>
      </c>
      <c r="C6" s="23" t="s">
        <v>28</v>
      </c>
      <c r="D6" s="23" t="s">
        <v>27</v>
      </c>
      <c r="E6" s="16">
        <f>611448+5160+3100+9100+7166</f>
        <v>635974</v>
      </c>
      <c r="F6" s="19">
        <f t="shared" si="0"/>
        <v>68140.07142857148</v>
      </c>
      <c r="G6" s="19">
        <f t="shared" si="1"/>
        <v>0</v>
      </c>
      <c r="H6" s="6">
        <f t="shared" si="2"/>
        <v>52997.833333333336</v>
      </c>
      <c r="I6" s="6"/>
      <c r="J6" s="6">
        <v>0</v>
      </c>
      <c r="K6" s="19">
        <f t="shared" si="3"/>
        <v>0</v>
      </c>
      <c r="L6" s="24">
        <f t="shared" si="4"/>
        <v>52997.833333333336</v>
      </c>
      <c r="M6" s="25">
        <f t="shared" si="5"/>
        <v>362.9988584474886</v>
      </c>
      <c r="N6" s="25">
        <f t="shared" si="6"/>
        <v>598.9481164383561</v>
      </c>
      <c r="O6" s="25">
        <f t="shared" si="7"/>
        <v>266.01846153846157</v>
      </c>
    </row>
    <row r="7" spans="1:15" ht="10.5" customHeight="1">
      <c r="A7" s="4" t="s">
        <v>15</v>
      </c>
      <c r="B7" s="23" t="s">
        <v>26</v>
      </c>
      <c r="C7" s="23" t="s">
        <v>24</v>
      </c>
      <c r="D7" s="23"/>
      <c r="E7" s="16">
        <f>623965+5160+3100+9100+7166</f>
        <v>648491</v>
      </c>
      <c r="F7" s="19">
        <f t="shared" si="0"/>
        <v>69481.17857142864</v>
      </c>
      <c r="G7" s="19">
        <f t="shared" si="1"/>
        <v>0</v>
      </c>
      <c r="H7" s="6">
        <f t="shared" si="2"/>
        <v>54040.916666666664</v>
      </c>
      <c r="I7" s="6"/>
      <c r="J7" s="6">
        <v>0</v>
      </c>
      <c r="K7" s="19">
        <f t="shared" si="3"/>
        <v>0</v>
      </c>
      <c r="L7" s="24">
        <f t="shared" si="4"/>
        <v>54040.916666666664</v>
      </c>
      <c r="M7" s="25">
        <f t="shared" si="5"/>
        <v>370.14326484018267</v>
      </c>
      <c r="N7" s="25">
        <f t="shared" si="6"/>
        <v>610.7363869863013</v>
      </c>
      <c r="O7" s="25">
        <f t="shared" si="7"/>
        <v>272.4374358974359</v>
      </c>
    </row>
    <row r="8" spans="1:15" ht="10.5" customHeight="1">
      <c r="A8" s="4" t="s">
        <v>16</v>
      </c>
      <c r="B8" s="23" t="s">
        <v>29</v>
      </c>
      <c r="C8" s="23"/>
      <c r="D8" s="23"/>
      <c r="E8" s="16">
        <f>640371+5160+3100+9100+7166</f>
        <v>664897</v>
      </c>
      <c r="F8" s="19">
        <f t="shared" si="0"/>
        <v>71238.96428571432</v>
      </c>
      <c r="G8" s="19">
        <f t="shared" si="1"/>
        <v>0</v>
      </c>
      <c r="H8" s="6">
        <f t="shared" si="2"/>
        <v>55408.083333333336</v>
      </c>
      <c r="I8" s="6"/>
      <c r="J8" s="6">
        <v>0</v>
      </c>
      <c r="K8" s="19">
        <f t="shared" si="3"/>
        <v>0</v>
      </c>
      <c r="L8" s="24">
        <f t="shared" si="4"/>
        <v>55408.083333333336</v>
      </c>
      <c r="M8" s="25">
        <f t="shared" si="5"/>
        <v>379.5074200913242</v>
      </c>
      <c r="N8" s="25">
        <f t="shared" si="6"/>
        <v>626.1872431506849</v>
      </c>
      <c r="O8" s="25">
        <f t="shared" si="7"/>
        <v>280.85076923076923</v>
      </c>
    </row>
    <row r="9" spans="1:15" ht="10.5" customHeight="1">
      <c r="A9" s="4" t="s">
        <v>30</v>
      </c>
      <c r="B9" s="23"/>
      <c r="C9" s="23"/>
      <c r="D9" s="23"/>
      <c r="E9" s="16">
        <f>656219+5160+3100+9100+7166</f>
        <v>680745</v>
      </c>
      <c r="F9" s="19">
        <f t="shared" si="0"/>
        <v>72936.96428571432</v>
      </c>
      <c r="G9" s="19">
        <f t="shared" si="1"/>
        <v>0</v>
      </c>
      <c r="H9" s="6">
        <f t="shared" si="2"/>
        <v>56728.75</v>
      </c>
      <c r="I9" s="6"/>
      <c r="J9" s="6">
        <v>0</v>
      </c>
      <c r="K9" s="19">
        <f t="shared" si="3"/>
        <v>0</v>
      </c>
      <c r="L9" s="24">
        <f t="shared" si="4"/>
        <v>56728.75</v>
      </c>
      <c r="M9" s="25">
        <f t="shared" si="5"/>
        <v>388.55308219178085</v>
      </c>
      <c r="N9" s="25">
        <f t="shared" si="6"/>
        <v>641.1125856164383</v>
      </c>
      <c r="O9" s="25">
        <f t="shared" si="7"/>
        <v>288.9779487179487</v>
      </c>
    </row>
    <row r="10" spans="1:15" ht="10.5" customHeight="1">
      <c r="A10" s="4" t="s">
        <v>35</v>
      </c>
      <c r="B10" s="23"/>
      <c r="C10" s="23"/>
      <c r="D10" s="23"/>
      <c r="E10" s="16">
        <f>669719+5160+3100+9100+7166</f>
        <v>694245</v>
      </c>
      <c r="F10" s="19">
        <f>E10-(E10/1.12)</f>
        <v>74383.39285714296</v>
      </c>
      <c r="G10" s="19">
        <f>J10*132</f>
        <v>0</v>
      </c>
      <c r="H10" s="6">
        <f>E10/12</f>
        <v>57853.75</v>
      </c>
      <c r="I10" s="6"/>
      <c r="J10" s="6">
        <v>0</v>
      </c>
      <c r="K10" s="19">
        <f>J10*146</f>
        <v>0</v>
      </c>
      <c r="L10" s="24">
        <f>(E10-K10)/12</f>
        <v>57853.75</v>
      </c>
      <c r="M10" s="25">
        <f>E10/1752</f>
        <v>396.2585616438356</v>
      </c>
      <c r="N10" s="25">
        <f>M10*1.65</f>
        <v>653.8266267123287</v>
      </c>
      <c r="O10" s="25">
        <f t="shared" si="7"/>
        <v>295.9010256410256</v>
      </c>
    </row>
    <row r="11" spans="1:15" ht="10.5" customHeight="1">
      <c r="A11" s="4" t="s">
        <v>60</v>
      </c>
      <c r="B11" s="23"/>
      <c r="C11" s="23"/>
      <c r="D11" s="23"/>
      <c r="E11" s="16">
        <v>706245</v>
      </c>
      <c r="F11" s="19">
        <f>E11-(E11/1.12)</f>
        <v>75669.10714285716</v>
      </c>
      <c r="G11" s="19">
        <f>J11*132</f>
        <v>0</v>
      </c>
      <c r="H11" s="6">
        <f>E11/12</f>
        <v>58853.75</v>
      </c>
      <c r="I11" s="6"/>
      <c r="J11" s="6">
        <v>0</v>
      </c>
      <c r="K11" s="19">
        <f>J11*146</f>
        <v>0</v>
      </c>
      <c r="L11" s="24">
        <f>(E11-K11)/12</f>
        <v>58853.75</v>
      </c>
      <c r="M11" s="25">
        <f>E11/1752</f>
        <v>403.1078767123288</v>
      </c>
      <c r="N11" s="25">
        <f>M11*1.65</f>
        <v>665.1279965753424</v>
      </c>
      <c r="O11" s="25">
        <f>(E11-(803*146))/1950</f>
        <v>302.0548717948718</v>
      </c>
    </row>
    <row r="12" spans="1:15" ht="10.5" customHeight="1">
      <c r="A12" s="4"/>
      <c r="B12" s="23"/>
      <c r="C12" s="23"/>
      <c r="D12" s="23"/>
      <c r="E12" s="20"/>
      <c r="F12" s="16"/>
      <c r="G12" s="16"/>
      <c r="H12" s="27"/>
      <c r="I12" s="28"/>
      <c r="J12" s="6"/>
      <c r="K12" s="19"/>
      <c r="L12" s="24"/>
      <c r="M12" s="25"/>
      <c r="N12" s="25"/>
      <c r="O12" s="25"/>
    </row>
    <row r="13" spans="1:19" ht="10.5" customHeight="1">
      <c r="A13" s="4" t="s">
        <v>40</v>
      </c>
      <c r="B13" s="38" t="s">
        <v>37</v>
      </c>
      <c r="C13" s="23" t="s">
        <v>20</v>
      </c>
      <c r="D13" s="23" t="s">
        <v>48</v>
      </c>
      <c r="E13" s="16">
        <f>622050+5160+3100+9100+7166</f>
        <v>646576</v>
      </c>
      <c r="F13" s="19">
        <f aca="true" t="shared" si="8" ref="F13:F19">E13-(E13/1.12)</f>
        <v>69276</v>
      </c>
      <c r="G13" s="19">
        <f aca="true" t="shared" si="9" ref="G13:G18">J13*132</f>
        <v>0</v>
      </c>
      <c r="H13" s="6">
        <f aca="true" t="shared" si="10" ref="H13:H19">E13/12</f>
        <v>53881.333333333336</v>
      </c>
      <c r="I13" s="28"/>
      <c r="J13" s="6">
        <v>0</v>
      </c>
      <c r="K13" s="28">
        <f aca="true" t="shared" si="11" ref="K13:K19">892+14+9</f>
        <v>915</v>
      </c>
      <c r="L13" s="19">
        <f>J13*146</f>
        <v>0</v>
      </c>
      <c r="M13" s="25">
        <f aca="true" t="shared" si="12" ref="M13:M19">E13/1752</f>
        <v>369.0502283105023</v>
      </c>
      <c r="N13" s="25">
        <f aca="true" t="shared" si="13" ref="N13:N19">M13*1.65</f>
        <v>608.9328767123287</v>
      </c>
      <c r="O13" s="25">
        <f t="shared" si="7"/>
        <v>271.4553846153846</v>
      </c>
      <c r="P13" s="25"/>
      <c r="Q13" s="30"/>
      <c r="R13" s="30"/>
      <c r="S13" s="30"/>
    </row>
    <row r="14" spans="1:19" ht="10.5" customHeight="1">
      <c r="A14" s="4" t="s">
        <v>41</v>
      </c>
      <c r="B14" s="23"/>
      <c r="C14" s="23" t="s">
        <v>47</v>
      </c>
      <c r="D14" s="23"/>
      <c r="E14" s="16">
        <f>634972+5160+3100+9100+7166</f>
        <v>659498</v>
      </c>
      <c r="F14" s="19">
        <f t="shared" si="8"/>
        <v>70660.5</v>
      </c>
      <c r="G14" s="19">
        <f t="shared" si="9"/>
        <v>0</v>
      </c>
      <c r="H14" s="6">
        <f t="shared" si="10"/>
        <v>54958.166666666664</v>
      </c>
      <c r="I14" s="28"/>
      <c r="J14" s="6">
        <v>0</v>
      </c>
      <c r="K14" s="28">
        <f t="shared" si="11"/>
        <v>915</v>
      </c>
      <c r="L14" s="19">
        <f>J14*146</f>
        <v>0</v>
      </c>
      <c r="M14" s="25">
        <f t="shared" si="12"/>
        <v>376.425799086758</v>
      </c>
      <c r="N14" s="25">
        <f t="shared" si="13"/>
        <v>621.1025684931507</v>
      </c>
      <c r="O14" s="25">
        <f t="shared" si="7"/>
        <v>278.0820512820513</v>
      </c>
      <c r="P14" s="25"/>
      <c r="Q14" s="30"/>
      <c r="R14" s="30"/>
      <c r="S14" s="30"/>
    </row>
    <row r="15" spans="1:19" ht="10.5" customHeight="1">
      <c r="A15" s="4" t="s">
        <v>42</v>
      </c>
      <c r="B15" s="23"/>
      <c r="C15" s="30"/>
      <c r="D15" s="26"/>
      <c r="E15" s="16">
        <f>647895+5160+3100+9100+7166</f>
        <v>672421</v>
      </c>
      <c r="F15" s="19">
        <f t="shared" si="8"/>
        <v>72045.10714285716</v>
      </c>
      <c r="G15" s="19">
        <f t="shared" si="9"/>
        <v>0</v>
      </c>
      <c r="H15" s="6">
        <f t="shared" si="10"/>
        <v>56035.083333333336</v>
      </c>
      <c r="I15" s="28"/>
      <c r="J15" s="6">
        <v>0</v>
      </c>
      <c r="K15" s="28">
        <f t="shared" si="11"/>
        <v>915</v>
      </c>
      <c r="L15" s="19">
        <f>J15*146</f>
        <v>0</v>
      </c>
      <c r="M15" s="25">
        <f t="shared" si="12"/>
        <v>383.8019406392694</v>
      </c>
      <c r="N15" s="25">
        <f t="shared" si="13"/>
        <v>633.2732020547944</v>
      </c>
      <c r="O15" s="25">
        <f t="shared" si="7"/>
        <v>284.70923076923077</v>
      </c>
      <c r="P15" s="25"/>
      <c r="Q15" s="30"/>
      <c r="R15" s="30"/>
      <c r="S15" s="30"/>
    </row>
    <row r="16" spans="1:19" ht="10.5" customHeight="1">
      <c r="A16" s="4" t="s">
        <v>43</v>
      </c>
      <c r="B16" s="23"/>
      <c r="C16" s="30"/>
      <c r="D16" s="26"/>
      <c r="E16" s="16">
        <f>664342+5160+3100+9100+7166</f>
        <v>688868</v>
      </c>
      <c r="F16" s="19">
        <f t="shared" si="8"/>
        <v>73807.2857142858</v>
      </c>
      <c r="G16" s="19">
        <f t="shared" si="9"/>
        <v>0</v>
      </c>
      <c r="H16" s="6">
        <f t="shared" si="10"/>
        <v>57405.666666666664</v>
      </c>
      <c r="I16" s="28"/>
      <c r="J16" s="6">
        <v>0</v>
      </c>
      <c r="K16" s="28">
        <f t="shared" si="11"/>
        <v>915</v>
      </c>
      <c r="L16" s="19">
        <f>J16*146</f>
        <v>0</v>
      </c>
      <c r="M16" s="25">
        <f t="shared" si="12"/>
        <v>393.189497716895</v>
      </c>
      <c r="N16" s="25">
        <f t="shared" si="13"/>
        <v>648.7626712328768</v>
      </c>
      <c r="O16" s="25">
        <f t="shared" si="7"/>
        <v>293.14358974358976</v>
      </c>
      <c r="P16" s="25"/>
      <c r="Q16" s="30"/>
      <c r="R16" s="30"/>
      <c r="S16" s="30"/>
    </row>
    <row r="17" spans="1:19" ht="10.5" customHeight="1">
      <c r="A17" s="4" t="s">
        <v>44</v>
      </c>
      <c r="B17" s="23"/>
      <c r="C17" s="30"/>
      <c r="D17" s="26"/>
      <c r="E17" s="16">
        <f>680189+5160+3100+9100+7166</f>
        <v>704715</v>
      </c>
      <c r="F17" s="19">
        <f t="shared" si="8"/>
        <v>75505.17857142864</v>
      </c>
      <c r="G17" s="19">
        <f t="shared" si="9"/>
        <v>0</v>
      </c>
      <c r="H17" s="6">
        <f t="shared" si="10"/>
        <v>58726.25</v>
      </c>
      <c r="I17" s="28"/>
      <c r="J17" s="6">
        <v>0</v>
      </c>
      <c r="K17" s="28">
        <f t="shared" si="11"/>
        <v>915</v>
      </c>
      <c r="L17" s="19">
        <f>J17*146</f>
        <v>0</v>
      </c>
      <c r="M17" s="25">
        <f t="shared" si="12"/>
        <v>402.2345890410959</v>
      </c>
      <c r="N17" s="25">
        <f t="shared" si="13"/>
        <v>663.6870719178082</v>
      </c>
      <c r="O17" s="25">
        <f t="shared" si="7"/>
        <v>301.2702564102564</v>
      </c>
      <c r="P17" s="25"/>
      <c r="Q17" s="30"/>
      <c r="R17" s="30"/>
      <c r="S17" s="30"/>
    </row>
    <row r="18" spans="1:19" ht="10.5" customHeight="1">
      <c r="A18" s="4" t="s">
        <v>45</v>
      </c>
      <c r="B18" s="23"/>
      <c r="C18" s="30"/>
      <c r="D18" s="26"/>
      <c r="E18" s="16">
        <f>696036+5160+3100+9100+7166</f>
        <v>720562</v>
      </c>
      <c r="F18" s="19">
        <f t="shared" si="8"/>
        <v>77203.07142857148</v>
      </c>
      <c r="G18" s="19">
        <f t="shared" si="9"/>
        <v>0</v>
      </c>
      <c r="H18" s="6">
        <f t="shared" si="10"/>
        <v>60046.833333333336</v>
      </c>
      <c r="I18" s="28"/>
      <c r="J18" s="6">
        <v>0</v>
      </c>
      <c r="K18" s="28">
        <f t="shared" si="11"/>
        <v>915</v>
      </c>
      <c r="L18" s="19"/>
      <c r="M18" s="25">
        <f t="shared" si="12"/>
        <v>411.2796803652968</v>
      </c>
      <c r="N18" s="25">
        <f t="shared" si="13"/>
        <v>678.6114726027397</v>
      </c>
      <c r="O18" s="25">
        <f t="shared" si="7"/>
        <v>309.3969230769231</v>
      </c>
      <c r="P18" s="25"/>
      <c r="Q18" s="30"/>
      <c r="R18" s="30"/>
      <c r="S18" s="30"/>
    </row>
    <row r="19" spans="1:19" ht="10.5" customHeight="1">
      <c r="A19" s="4" t="s">
        <v>46</v>
      </c>
      <c r="B19" s="23"/>
      <c r="C19" s="30"/>
      <c r="D19" s="26"/>
      <c r="E19" s="16">
        <f>709536+5160+3100+9100+7166</f>
        <v>734062</v>
      </c>
      <c r="F19" s="19">
        <f t="shared" si="8"/>
        <v>78649.50000000012</v>
      </c>
      <c r="G19" s="19">
        <f>J19*132</f>
        <v>0</v>
      </c>
      <c r="H19" s="6">
        <f t="shared" si="10"/>
        <v>61171.833333333336</v>
      </c>
      <c r="I19" s="28"/>
      <c r="J19" s="6">
        <v>0</v>
      </c>
      <c r="K19" s="28">
        <f t="shared" si="11"/>
        <v>915</v>
      </c>
      <c r="L19" s="19"/>
      <c r="M19" s="25">
        <f t="shared" si="12"/>
        <v>418.9851598173516</v>
      </c>
      <c r="N19" s="25">
        <f t="shared" si="13"/>
        <v>691.3255136986301</v>
      </c>
      <c r="O19" s="25">
        <f t="shared" si="7"/>
        <v>316.32</v>
      </c>
      <c r="P19" s="25"/>
      <c r="Q19" s="30"/>
      <c r="R19" s="30"/>
      <c r="S19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:IV16384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61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13</v>
      </c>
      <c r="B4" s="23" t="s">
        <v>23</v>
      </c>
      <c r="C4" s="23" t="s">
        <v>20</v>
      </c>
      <c r="D4" s="23" t="s">
        <v>22</v>
      </c>
      <c r="E4" s="16">
        <f>586417+5160+3100+9100+7166+4500</f>
        <v>615443</v>
      </c>
      <c r="F4" s="19">
        <f aca="true" t="shared" si="0" ref="F4:F9">E4-(E4/1.12)</f>
        <v>65940.32142857148</v>
      </c>
      <c r="G4" s="19">
        <f aca="true" t="shared" si="1" ref="G4:G9">J4*132</f>
        <v>0</v>
      </c>
      <c r="H4" s="6">
        <f aca="true" t="shared" si="2" ref="H4:H9">E4/12</f>
        <v>51286.916666666664</v>
      </c>
      <c r="I4" s="6"/>
      <c r="J4" s="6">
        <v>0</v>
      </c>
      <c r="K4" s="19">
        <f aca="true" t="shared" si="3" ref="K4:K9">J4*146</f>
        <v>0</v>
      </c>
      <c r="L4" s="24">
        <f aca="true" t="shared" si="4" ref="L4:L9">(E4-K4)/12</f>
        <v>51286.916666666664</v>
      </c>
      <c r="M4" s="25">
        <f aca="true" t="shared" si="5" ref="M4:M9">E4/1752</f>
        <v>351.2802511415525</v>
      </c>
      <c r="N4" s="25">
        <f aca="true" t="shared" si="6" ref="N4:N9">M4*1.65</f>
        <v>579.6124143835616</v>
      </c>
      <c r="O4" s="25">
        <f>(E4-(813*146))/1950</f>
        <v>254.74102564102563</v>
      </c>
    </row>
    <row r="5" spans="1:15" ht="10.5" customHeight="1">
      <c r="A5" s="4" t="s">
        <v>3</v>
      </c>
      <c r="B5" s="23"/>
      <c r="C5" s="23" t="s">
        <v>21</v>
      </c>
      <c r="D5" s="23"/>
      <c r="E5" s="16">
        <f>598933+5160+3100+9100+7166+4500</f>
        <v>627959</v>
      </c>
      <c r="F5" s="19">
        <f t="shared" si="0"/>
        <v>67281.32142857148</v>
      </c>
      <c r="G5" s="19">
        <f t="shared" si="1"/>
        <v>0</v>
      </c>
      <c r="H5" s="6">
        <f t="shared" si="2"/>
        <v>52329.916666666664</v>
      </c>
      <c r="I5" s="6"/>
      <c r="J5" s="6">
        <v>0</v>
      </c>
      <c r="K5" s="19">
        <f t="shared" si="3"/>
        <v>0</v>
      </c>
      <c r="L5" s="24">
        <f t="shared" si="4"/>
        <v>52329.916666666664</v>
      </c>
      <c r="M5" s="25">
        <f t="shared" si="5"/>
        <v>358.4240867579909</v>
      </c>
      <c r="N5" s="25">
        <f t="shared" si="6"/>
        <v>591.3997431506849</v>
      </c>
      <c r="O5" s="25">
        <f aca="true" t="shared" si="7" ref="O5:O19">(E5-(813*146))/1950</f>
        <v>261.1594871794872</v>
      </c>
    </row>
    <row r="6" spans="1:15" ht="10.5" customHeight="1">
      <c r="A6" s="4" t="s">
        <v>14</v>
      </c>
      <c r="B6" s="23" t="s">
        <v>25</v>
      </c>
      <c r="C6" s="23" t="s">
        <v>28</v>
      </c>
      <c r="D6" s="23" t="s">
        <v>27</v>
      </c>
      <c r="E6" s="16">
        <f>611448+5160+3100+9100+7166+4500</f>
        <v>640474</v>
      </c>
      <c r="F6" s="19">
        <f t="shared" si="0"/>
        <v>68622.21428571432</v>
      </c>
      <c r="G6" s="19">
        <f t="shared" si="1"/>
        <v>0</v>
      </c>
      <c r="H6" s="6">
        <f t="shared" si="2"/>
        <v>53372.833333333336</v>
      </c>
      <c r="I6" s="6"/>
      <c r="J6" s="6">
        <v>0</v>
      </c>
      <c r="K6" s="19">
        <f t="shared" si="3"/>
        <v>0</v>
      </c>
      <c r="L6" s="24">
        <f t="shared" si="4"/>
        <v>53372.833333333336</v>
      </c>
      <c r="M6" s="25">
        <f t="shared" si="5"/>
        <v>365.5673515981735</v>
      </c>
      <c r="N6" s="25">
        <f t="shared" si="6"/>
        <v>603.1861301369862</v>
      </c>
      <c r="O6" s="25">
        <f t="shared" si="7"/>
        <v>267.5774358974359</v>
      </c>
    </row>
    <row r="7" spans="1:15" ht="10.5" customHeight="1">
      <c r="A7" s="4" t="s">
        <v>15</v>
      </c>
      <c r="B7" s="23" t="s">
        <v>26</v>
      </c>
      <c r="C7" s="23" t="s">
        <v>24</v>
      </c>
      <c r="D7" s="23"/>
      <c r="E7" s="16">
        <f>623965+5160+3100+9100+7166+4500</f>
        <v>652991</v>
      </c>
      <c r="F7" s="19">
        <f t="shared" si="0"/>
        <v>69963.32142857148</v>
      </c>
      <c r="G7" s="19">
        <f t="shared" si="1"/>
        <v>0</v>
      </c>
      <c r="H7" s="6">
        <f t="shared" si="2"/>
        <v>54415.916666666664</v>
      </c>
      <c r="I7" s="6"/>
      <c r="J7" s="6">
        <v>0</v>
      </c>
      <c r="K7" s="19">
        <f t="shared" si="3"/>
        <v>0</v>
      </c>
      <c r="L7" s="24">
        <f t="shared" si="4"/>
        <v>54415.916666666664</v>
      </c>
      <c r="M7" s="25">
        <f t="shared" si="5"/>
        <v>372.71175799086757</v>
      </c>
      <c r="N7" s="25">
        <f t="shared" si="6"/>
        <v>614.9744006849314</v>
      </c>
      <c r="O7" s="25">
        <f t="shared" si="7"/>
        <v>273.99641025641023</v>
      </c>
    </row>
    <row r="8" spans="1:15" ht="10.5" customHeight="1">
      <c r="A8" s="4" t="s">
        <v>16</v>
      </c>
      <c r="B8" s="23" t="s">
        <v>29</v>
      </c>
      <c r="C8" s="23"/>
      <c r="D8" s="23"/>
      <c r="E8" s="16">
        <f>640371+5160+3100+9100+7166+4500</f>
        <v>669397</v>
      </c>
      <c r="F8" s="19">
        <f t="shared" si="0"/>
        <v>71721.10714285716</v>
      </c>
      <c r="G8" s="19">
        <f t="shared" si="1"/>
        <v>0</v>
      </c>
      <c r="H8" s="6">
        <f t="shared" si="2"/>
        <v>55783.083333333336</v>
      </c>
      <c r="I8" s="6"/>
      <c r="J8" s="6">
        <v>0</v>
      </c>
      <c r="K8" s="19">
        <f t="shared" si="3"/>
        <v>0</v>
      </c>
      <c r="L8" s="24">
        <f t="shared" si="4"/>
        <v>55783.083333333336</v>
      </c>
      <c r="M8" s="25">
        <f t="shared" si="5"/>
        <v>382.0759132420091</v>
      </c>
      <c r="N8" s="25">
        <f t="shared" si="6"/>
        <v>630.425256849315</v>
      </c>
      <c r="O8" s="25">
        <f t="shared" si="7"/>
        <v>282.4097435897436</v>
      </c>
    </row>
    <row r="9" spans="1:15" ht="10.5" customHeight="1">
      <c r="A9" s="4" t="s">
        <v>30</v>
      </c>
      <c r="B9" s="23"/>
      <c r="C9" s="23"/>
      <c r="D9" s="23"/>
      <c r="E9" s="16">
        <f>656219+5160+3100+9100+7166+4500</f>
        <v>685245</v>
      </c>
      <c r="F9" s="19">
        <f t="shared" si="0"/>
        <v>73419.10714285716</v>
      </c>
      <c r="G9" s="19">
        <f t="shared" si="1"/>
        <v>0</v>
      </c>
      <c r="H9" s="6">
        <f t="shared" si="2"/>
        <v>57103.75</v>
      </c>
      <c r="I9" s="6"/>
      <c r="J9" s="6">
        <v>0</v>
      </c>
      <c r="K9" s="19">
        <f t="shared" si="3"/>
        <v>0</v>
      </c>
      <c r="L9" s="24">
        <f t="shared" si="4"/>
        <v>57103.75</v>
      </c>
      <c r="M9" s="25">
        <f t="shared" si="5"/>
        <v>391.12157534246575</v>
      </c>
      <c r="N9" s="25">
        <f t="shared" si="6"/>
        <v>645.3505993150684</v>
      </c>
      <c r="O9" s="25">
        <f t="shared" si="7"/>
        <v>290.5369230769231</v>
      </c>
    </row>
    <row r="10" spans="1:15" ht="10.5" customHeight="1">
      <c r="A10" s="4" t="s">
        <v>35</v>
      </c>
      <c r="B10" s="23"/>
      <c r="C10" s="23"/>
      <c r="D10" s="23"/>
      <c r="E10" s="16">
        <f>669719+5160+3100+9100+7166+4500</f>
        <v>698745</v>
      </c>
      <c r="F10" s="19">
        <f>E10-(E10/1.12)</f>
        <v>74865.5357142858</v>
      </c>
      <c r="G10" s="19">
        <f>J10*132</f>
        <v>0</v>
      </c>
      <c r="H10" s="6">
        <f>E10/12</f>
        <v>58228.75</v>
      </c>
      <c r="I10" s="6"/>
      <c r="J10" s="6">
        <v>0</v>
      </c>
      <c r="K10" s="19">
        <f>J10*146</f>
        <v>0</v>
      </c>
      <c r="L10" s="24">
        <f>(E10-K10)/12</f>
        <v>58228.75</v>
      </c>
      <c r="M10" s="25">
        <f>E10/1752</f>
        <v>398.82705479452056</v>
      </c>
      <c r="N10" s="25">
        <f>M10*1.65</f>
        <v>658.0646404109589</v>
      </c>
      <c r="O10" s="25">
        <f t="shared" si="7"/>
        <v>297.46</v>
      </c>
    </row>
    <row r="11" spans="1:15" ht="10.5" customHeight="1">
      <c r="A11" s="4" t="s">
        <v>60</v>
      </c>
      <c r="B11" s="23"/>
      <c r="C11" s="23"/>
      <c r="D11" s="23"/>
      <c r="E11" s="16">
        <f>706245+4500</f>
        <v>710745</v>
      </c>
      <c r="F11" s="19">
        <f>E11-(E11/1.12)</f>
        <v>76151.25000000012</v>
      </c>
      <c r="G11" s="19">
        <f>J11*132</f>
        <v>0</v>
      </c>
      <c r="H11" s="6">
        <f>E11/12</f>
        <v>59228.75</v>
      </c>
      <c r="I11" s="6"/>
      <c r="J11" s="6">
        <v>0</v>
      </c>
      <c r="K11" s="19">
        <f>J11*146</f>
        <v>0</v>
      </c>
      <c r="L11" s="24">
        <f>(E11-K11)/12</f>
        <v>59228.75</v>
      </c>
      <c r="M11" s="25">
        <f>E11/1752</f>
        <v>405.6763698630137</v>
      </c>
      <c r="N11" s="25">
        <f>M11*1.65</f>
        <v>669.3660102739725</v>
      </c>
      <c r="O11" s="25">
        <f t="shared" si="7"/>
        <v>303.61384615384617</v>
      </c>
    </row>
    <row r="12" spans="1:15" ht="10.5" customHeight="1">
      <c r="A12" s="4"/>
      <c r="B12" s="23"/>
      <c r="C12" s="23"/>
      <c r="D12" s="23"/>
      <c r="E12" s="20"/>
      <c r="F12" s="16"/>
      <c r="G12" s="16"/>
      <c r="H12" s="27"/>
      <c r="I12" s="28"/>
      <c r="J12" s="6"/>
      <c r="K12" s="19"/>
      <c r="L12" s="24"/>
      <c r="M12" s="25"/>
      <c r="N12" s="25"/>
      <c r="O12" s="25"/>
    </row>
    <row r="13" spans="1:19" ht="10.5" customHeight="1">
      <c r="A13" s="4" t="s">
        <v>40</v>
      </c>
      <c r="B13" s="38" t="s">
        <v>37</v>
      </c>
      <c r="C13" s="23" t="s">
        <v>20</v>
      </c>
      <c r="D13" s="23" t="s">
        <v>48</v>
      </c>
      <c r="E13" s="16">
        <f>622050+5160+3100+9100+7166+4500</f>
        <v>651076</v>
      </c>
      <c r="F13" s="19">
        <f aca="true" t="shared" si="8" ref="F13:F19">E13-(E13/1.12)</f>
        <v>69758.14285714296</v>
      </c>
      <c r="G13" s="19">
        <f aca="true" t="shared" si="9" ref="G13:G18">J13*132</f>
        <v>0</v>
      </c>
      <c r="H13" s="6">
        <f aca="true" t="shared" si="10" ref="H13:H19">E13/12</f>
        <v>54256.333333333336</v>
      </c>
      <c r="I13" s="28"/>
      <c r="J13" s="6">
        <v>0</v>
      </c>
      <c r="K13" s="28">
        <f aca="true" t="shared" si="11" ref="K13:K19">892+14+9</f>
        <v>915</v>
      </c>
      <c r="L13" s="19">
        <f>J13*146</f>
        <v>0</v>
      </c>
      <c r="M13" s="25">
        <f aca="true" t="shared" si="12" ref="M13:M19">E13/1752</f>
        <v>371.6187214611872</v>
      </c>
      <c r="N13" s="25">
        <f aca="true" t="shared" si="13" ref="N13:N19">M13*1.65</f>
        <v>613.1708904109588</v>
      </c>
      <c r="O13" s="25">
        <f t="shared" si="7"/>
        <v>273.01435897435897</v>
      </c>
      <c r="P13" s="25"/>
      <c r="Q13" s="30"/>
      <c r="R13" s="30"/>
      <c r="S13" s="30"/>
    </row>
    <row r="14" spans="1:19" ht="10.5" customHeight="1">
      <c r="A14" s="4" t="s">
        <v>41</v>
      </c>
      <c r="B14" s="23"/>
      <c r="C14" s="23" t="s">
        <v>47</v>
      </c>
      <c r="D14" s="23"/>
      <c r="E14" s="16">
        <f>634972+5160+3100+9100+7166+4500</f>
        <v>663998</v>
      </c>
      <c r="F14" s="19">
        <f t="shared" si="8"/>
        <v>71142.64285714296</v>
      </c>
      <c r="G14" s="19">
        <f t="shared" si="9"/>
        <v>0</v>
      </c>
      <c r="H14" s="6">
        <f t="shared" si="10"/>
        <v>55333.166666666664</v>
      </c>
      <c r="I14" s="28"/>
      <c r="J14" s="6">
        <v>0</v>
      </c>
      <c r="K14" s="28">
        <f t="shared" si="11"/>
        <v>915</v>
      </c>
      <c r="L14" s="19">
        <f>J14*146</f>
        <v>0</v>
      </c>
      <c r="M14" s="25">
        <f t="shared" si="12"/>
        <v>378.99429223744295</v>
      </c>
      <c r="N14" s="25">
        <f t="shared" si="13"/>
        <v>625.3405821917809</v>
      </c>
      <c r="O14" s="25">
        <f t="shared" si="7"/>
        <v>279.64102564102564</v>
      </c>
      <c r="P14" s="25"/>
      <c r="Q14" s="30"/>
      <c r="R14" s="30"/>
      <c r="S14" s="30"/>
    </row>
    <row r="15" spans="1:19" ht="10.5" customHeight="1">
      <c r="A15" s="4" t="s">
        <v>42</v>
      </c>
      <c r="B15" s="23"/>
      <c r="C15" s="30"/>
      <c r="D15" s="26"/>
      <c r="E15" s="16">
        <f>647895+5160+3100+9100+7166+4500</f>
        <v>676921</v>
      </c>
      <c r="F15" s="19">
        <f t="shared" si="8"/>
        <v>72527.25</v>
      </c>
      <c r="G15" s="19">
        <f t="shared" si="9"/>
        <v>0</v>
      </c>
      <c r="H15" s="6">
        <f t="shared" si="10"/>
        <v>56410.083333333336</v>
      </c>
      <c r="I15" s="28"/>
      <c r="J15" s="6">
        <v>0</v>
      </c>
      <c r="K15" s="28">
        <f t="shared" si="11"/>
        <v>915</v>
      </c>
      <c r="L15" s="19">
        <f>J15*146</f>
        <v>0</v>
      </c>
      <c r="M15" s="25">
        <f t="shared" si="12"/>
        <v>386.37043378995435</v>
      </c>
      <c r="N15" s="25">
        <f t="shared" si="13"/>
        <v>637.5112157534246</v>
      </c>
      <c r="O15" s="25">
        <f t="shared" si="7"/>
        <v>286.2682051282051</v>
      </c>
      <c r="P15" s="25"/>
      <c r="Q15" s="30"/>
      <c r="R15" s="30"/>
      <c r="S15" s="30"/>
    </row>
    <row r="16" spans="1:19" ht="10.5" customHeight="1">
      <c r="A16" s="4" t="s">
        <v>43</v>
      </c>
      <c r="B16" s="23"/>
      <c r="C16" s="30"/>
      <c r="D16" s="26"/>
      <c r="E16" s="16">
        <f>664342+5160+3100+9100+7166+4500</f>
        <v>693368</v>
      </c>
      <c r="F16" s="19">
        <f t="shared" si="8"/>
        <v>74289.42857142864</v>
      </c>
      <c r="G16" s="19">
        <f t="shared" si="9"/>
        <v>0</v>
      </c>
      <c r="H16" s="6">
        <f t="shared" si="10"/>
        <v>57780.666666666664</v>
      </c>
      <c r="I16" s="28"/>
      <c r="J16" s="6">
        <v>0</v>
      </c>
      <c r="K16" s="28">
        <f t="shared" si="11"/>
        <v>915</v>
      </c>
      <c r="L16" s="19">
        <f>J16*146</f>
        <v>0</v>
      </c>
      <c r="M16" s="25">
        <f t="shared" si="12"/>
        <v>395.7579908675799</v>
      </c>
      <c r="N16" s="25">
        <f t="shared" si="13"/>
        <v>653.0006849315068</v>
      </c>
      <c r="O16" s="25">
        <f t="shared" si="7"/>
        <v>294.7025641025641</v>
      </c>
      <c r="P16" s="25"/>
      <c r="Q16" s="30"/>
      <c r="R16" s="30"/>
      <c r="S16" s="30"/>
    </row>
    <row r="17" spans="1:19" ht="10.5" customHeight="1">
      <c r="A17" s="4" t="s">
        <v>44</v>
      </c>
      <c r="B17" s="23"/>
      <c r="C17" s="30"/>
      <c r="D17" s="26"/>
      <c r="E17" s="16">
        <f>680189+5160+3100+9100+7166+4500</f>
        <v>709215</v>
      </c>
      <c r="F17" s="19">
        <f t="shared" si="8"/>
        <v>75987.32142857148</v>
      </c>
      <c r="G17" s="19">
        <f t="shared" si="9"/>
        <v>0</v>
      </c>
      <c r="H17" s="6">
        <f t="shared" si="10"/>
        <v>59101.25</v>
      </c>
      <c r="I17" s="28"/>
      <c r="J17" s="6">
        <v>0</v>
      </c>
      <c r="K17" s="28">
        <f t="shared" si="11"/>
        <v>915</v>
      </c>
      <c r="L17" s="19">
        <f>J17*146</f>
        <v>0</v>
      </c>
      <c r="M17" s="25">
        <f t="shared" si="12"/>
        <v>404.80308219178085</v>
      </c>
      <c r="N17" s="25">
        <f t="shared" si="13"/>
        <v>667.9250856164383</v>
      </c>
      <c r="O17" s="25">
        <f t="shared" si="7"/>
        <v>302.8292307692308</v>
      </c>
      <c r="P17" s="25"/>
      <c r="Q17" s="30"/>
      <c r="R17" s="30"/>
      <c r="S17" s="30"/>
    </row>
    <row r="18" spans="1:19" ht="10.5" customHeight="1">
      <c r="A18" s="4" t="s">
        <v>45</v>
      </c>
      <c r="B18" s="23"/>
      <c r="C18" s="30"/>
      <c r="D18" s="26"/>
      <c r="E18" s="16">
        <f>696036+5160+3100+9100+7166+4500</f>
        <v>725062</v>
      </c>
      <c r="F18" s="19">
        <f t="shared" si="8"/>
        <v>77685.21428571432</v>
      </c>
      <c r="G18" s="19">
        <f t="shared" si="9"/>
        <v>0</v>
      </c>
      <c r="H18" s="6">
        <f t="shared" si="10"/>
        <v>60421.833333333336</v>
      </c>
      <c r="I18" s="28"/>
      <c r="J18" s="6">
        <v>0</v>
      </c>
      <c r="K18" s="28">
        <f t="shared" si="11"/>
        <v>915</v>
      </c>
      <c r="L18" s="19"/>
      <c r="M18" s="25">
        <f t="shared" si="12"/>
        <v>413.8481735159817</v>
      </c>
      <c r="N18" s="25">
        <f t="shared" si="13"/>
        <v>682.8494863013698</v>
      </c>
      <c r="O18" s="25">
        <f t="shared" si="7"/>
        <v>310.95589743589744</v>
      </c>
      <c r="P18" s="25"/>
      <c r="Q18" s="30"/>
      <c r="R18" s="30"/>
      <c r="S18" s="30"/>
    </row>
    <row r="19" spans="1:19" ht="10.5" customHeight="1">
      <c r="A19" s="4" t="s">
        <v>46</v>
      </c>
      <c r="B19" s="23"/>
      <c r="C19" s="30"/>
      <c r="D19" s="26"/>
      <c r="E19" s="16">
        <f>709536+5160+3100+9100+7166+4500</f>
        <v>738562</v>
      </c>
      <c r="F19" s="19">
        <f t="shared" si="8"/>
        <v>79131.64285714296</v>
      </c>
      <c r="G19" s="19">
        <f>J19*132</f>
        <v>0</v>
      </c>
      <c r="H19" s="6">
        <f t="shared" si="10"/>
        <v>61546.833333333336</v>
      </c>
      <c r="I19" s="28"/>
      <c r="J19" s="6">
        <v>0</v>
      </c>
      <c r="K19" s="28">
        <f t="shared" si="11"/>
        <v>915</v>
      </c>
      <c r="L19" s="19"/>
      <c r="M19" s="25">
        <f t="shared" si="12"/>
        <v>421.55365296803654</v>
      </c>
      <c r="N19" s="25">
        <f t="shared" si="13"/>
        <v>695.5635273972603</v>
      </c>
      <c r="O19" s="25">
        <f t="shared" si="7"/>
        <v>317.87897435897435</v>
      </c>
      <c r="P19" s="25"/>
      <c r="Q19" s="30"/>
      <c r="R19" s="30"/>
      <c r="S19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" sqref="A1:IV16384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62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</v>
      </c>
      <c r="B4" s="23" t="s">
        <v>23</v>
      </c>
      <c r="C4" s="23" t="s">
        <v>20</v>
      </c>
      <c r="D4" s="23" t="s">
        <v>22</v>
      </c>
      <c r="E4" s="16">
        <f>598933+5160+3100+9100+7166+4500</f>
        <v>627959</v>
      </c>
      <c r="F4" s="19">
        <f aca="true" t="shared" si="0" ref="F4:F10">E4-(E4/1.12)</f>
        <v>67281.32142857148</v>
      </c>
      <c r="G4" s="19">
        <f aca="true" t="shared" si="1" ref="G4:G10">J4*132</f>
        <v>0</v>
      </c>
      <c r="H4" s="6">
        <f aca="true" t="shared" si="2" ref="H4:H10">E4/12</f>
        <v>52329.916666666664</v>
      </c>
      <c r="I4" s="6"/>
      <c r="J4" s="6">
        <v>0</v>
      </c>
      <c r="K4" s="19">
        <f aca="true" t="shared" si="3" ref="K4:K10">J4*146</f>
        <v>0</v>
      </c>
      <c r="L4" s="24">
        <f aca="true" t="shared" si="4" ref="L4:L10">(E4-K4)/12</f>
        <v>52329.916666666664</v>
      </c>
      <c r="M4" s="25">
        <f aca="true" t="shared" si="5" ref="M4:M10">E4/1752</f>
        <v>358.4240867579909</v>
      </c>
      <c r="N4" s="25">
        <f aca="true" t="shared" si="6" ref="N4:N10">M4*1.65</f>
        <v>591.3997431506849</v>
      </c>
      <c r="O4" s="25">
        <f aca="true" t="shared" si="7" ref="O4:O26">(E4-(813*146))/1950</f>
        <v>261.1594871794872</v>
      </c>
    </row>
    <row r="5" spans="1:15" ht="10.5" customHeight="1">
      <c r="A5" s="4" t="s">
        <v>2</v>
      </c>
      <c r="B5" s="23"/>
      <c r="C5" s="23" t="s">
        <v>21</v>
      </c>
      <c r="D5" s="23"/>
      <c r="E5" s="16">
        <f>611448+5160+3100+9100+7166+4500</f>
        <v>640474</v>
      </c>
      <c r="F5" s="19">
        <f t="shared" si="0"/>
        <v>68622.21428571432</v>
      </c>
      <c r="G5" s="19">
        <f t="shared" si="1"/>
        <v>0</v>
      </c>
      <c r="H5" s="6">
        <f t="shared" si="2"/>
        <v>53372.833333333336</v>
      </c>
      <c r="I5" s="6"/>
      <c r="J5" s="6">
        <v>0</v>
      </c>
      <c r="K5" s="19">
        <f t="shared" si="3"/>
        <v>0</v>
      </c>
      <c r="L5" s="24">
        <f t="shared" si="4"/>
        <v>53372.833333333336</v>
      </c>
      <c r="M5" s="25">
        <f t="shared" si="5"/>
        <v>365.5673515981735</v>
      </c>
      <c r="N5" s="25">
        <f t="shared" si="6"/>
        <v>603.1861301369862</v>
      </c>
      <c r="O5" s="25">
        <f t="shared" si="7"/>
        <v>267.5774358974359</v>
      </c>
    </row>
    <row r="6" spans="1:15" ht="10.5" customHeight="1">
      <c r="A6" s="4" t="s">
        <v>12</v>
      </c>
      <c r="B6" s="23"/>
      <c r="C6" s="23"/>
      <c r="D6" s="23"/>
      <c r="E6" s="16">
        <f>623965+5160+3100+9100+7166+4500</f>
        <v>652991</v>
      </c>
      <c r="F6" s="19">
        <f t="shared" si="0"/>
        <v>69963.32142857148</v>
      </c>
      <c r="G6" s="19">
        <f t="shared" si="1"/>
        <v>0</v>
      </c>
      <c r="H6" s="6">
        <f t="shared" si="2"/>
        <v>54415.916666666664</v>
      </c>
      <c r="I6" s="6"/>
      <c r="J6" s="6">
        <v>0</v>
      </c>
      <c r="K6" s="19">
        <f t="shared" si="3"/>
        <v>0</v>
      </c>
      <c r="L6" s="24">
        <f t="shared" si="4"/>
        <v>54415.916666666664</v>
      </c>
      <c r="M6" s="25">
        <f t="shared" si="5"/>
        <v>372.71175799086757</v>
      </c>
      <c r="N6" s="25">
        <f t="shared" si="6"/>
        <v>614.9744006849314</v>
      </c>
      <c r="O6" s="25">
        <f t="shared" si="7"/>
        <v>273.99641025641023</v>
      </c>
    </row>
    <row r="7" spans="1:15" ht="10.5" customHeight="1">
      <c r="A7" s="4" t="s">
        <v>13</v>
      </c>
      <c r="B7" s="23"/>
      <c r="C7" s="23"/>
      <c r="D7" s="23"/>
      <c r="E7" s="16">
        <f>640371+5160+3100+9100+7166+4500</f>
        <v>669397</v>
      </c>
      <c r="F7" s="19">
        <f t="shared" si="0"/>
        <v>71721.10714285716</v>
      </c>
      <c r="G7" s="19">
        <f t="shared" si="1"/>
        <v>0</v>
      </c>
      <c r="H7" s="6">
        <f t="shared" si="2"/>
        <v>55783.083333333336</v>
      </c>
      <c r="I7" s="6"/>
      <c r="J7" s="6">
        <v>0</v>
      </c>
      <c r="K7" s="19">
        <f t="shared" si="3"/>
        <v>0</v>
      </c>
      <c r="L7" s="24">
        <f t="shared" si="4"/>
        <v>55783.083333333336</v>
      </c>
      <c r="M7" s="25">
        <f t="shared" si="5"/>
        <v>382.0759132420091</v>
      </c>
      <c r="N7" s="25">
        <f t="shared" si="6"/>
        <v>630.425256849315</v>
      </c>
      <c r="O7" s="25">
        <f t="shared" si="7"/>
        <v>282.4097435897436</v>
      </c>
    </row>
    <row r="8" spans="1:15" ht="10.5" customHeight="1">
      <c r="A8" s="4" t="s">
        <v>3</v>
      </c>
      <c r="B8" s="23"/>
      <c r="C8" s="23"/>
      <c r="D8" s="23"/>
      <c r="E8" s="16">
        <v>675745</v>
      </c>
      <c r="F8" s="19">
        <f>E8-(E8/1.12)</f>
        <v>72401.25</v>
      </c>
      <c r="G8" s="19">
        <f>J8*132</f>
        <v>0</v>
      </c>
      <c r="H8" s="6">
        <f>E8/12</f>
        <v>56312.083333333336</v>
      </c>
      <c r="I8" s="6"/>
      <c r="J8" s="6">
        <v>0</v>
      </c>
      <c r="K8" s="19">
        <f>J8*146</f>
        <v>0</v>
      </c>
      <c r="L8" s="24">
        <f>(E8-K8)/12</f>
        <v>56312.083333333336</v>
      </c>
      <c r="M8" s="25">
        <f>E8/1752</f>
        <v>385.699200913242</v>
      </c>
      <c r="N8" s="25">
        <f>M8*1.65</f>
        <v>636.4036815068492</v>
      </c>
      <c r="O8" s="25">
        <f>(E8-(813*146))/1950</f>
        <v>285.6651282051282</v>
      </c>
    </row>
    <row r="9" spans="1:15" ht="10.5" customHeight="1">
      <c r="A9" s="4" t="s">
        <v>14</v>
      </c>
      <c r="B9" s="23" t="s">
        <v>29</v>
      </c>
      <c r="C9" s="23"/>
      <c r="D9" s="23"/>
      <c r="E9" s="16">
        <v>680745</v>
      </c>
      <c r="F9" s="19">
        <f>E9-(E9/1.12)</f>
        <v>72936.96428571432</v>
      </c>
      <c r="G9" s="19">
        <f>J9*132</f>
        <v>0</v>
      </c>
      <c r="H9" s="6">
        <f>E9/12</f>
        <v>56728.75</v>
      </c>
      <c r="I9" s="6"/>
      <c r="J9" s="6">
        <v>0</v>
      </c>
      <c r="K9" s="19">
        <f>J9*146</f>
        <v>0</v>
      </c>
      <c r="L9" s="24">
        <f>(E9-K9)/12</f>
        <v>56728.75</v>
      </c>
      <c r="M9" s="25">
        <f>E9/1752</f>
        <v>388.55308219178085</v>
      </c>
      <c r="N9" s="25">
        <f>M9*1.65</f>
        <v>641.1125856164383</v>
      </c>
      <c r="O9" s="25">
        <f>(E9-(813*146))/1950</f>
        <v>288.22923076923075</v>
      </c>
    </row>
    <row r="10" spans="1:15" ht="10.5" customHeight="1">
      <c r="A10" s="4" t="s">
        <v>15</v>
      </c>
      <c r="B10" s="23"/>
      <c r="C10" s="23"/>
      <c r="D10" s="23"/>
      <c r="E10" s="16">
        <v>685745</v>
      </c>
      <c r="F10" s="19">
        <f t="shared" si="0"/>
        <v>73472.67857142864</v>
      </c>
      <c r="G10" s="19">
        <f t="shared" si="1"/>
        <v>0</v>
      </c>
      <c r="H10" s="6">
        <f t="shared" si="2"/>
        <v>57145.416666666664</v>
      </c>
      <c r="I10" s="6"/>
      <c r="J10" s="6">
        <v>0</v>
      </c>
      <c r="K10" s="19">
        <f t="shared" si="3"/>
        <v>0</v>
      </c>
      <c r="L10" s="24">
        <f t="shared" si="4"/>
        <v>57145.416666666664</v>
      </c>
      <c r="M10" s="25">
        <f t="shared" si="5"/>
        <v>391.4069634703196</v>
      </c>
      <c r="N10" s="25">
        <f t="shared" si="6"/>
        <v>645.8214897260274</v>
      </c>
      <c r="O10" s="25">
        <f t="shared" si="7"/>
        <v>290.79333333333335</v>
      </c>
    </row>
    <row r="11" spans="1:15" ht="10.5" customHeight="1">
      <c r="A11" s="4" t="s">
        <v>16</v>
      </c>
      <c r="B11" s="23"/>
      <c r="C11" s="23"/>
      <c r="D11" s="23"/>
      <c r="E11" s="16">
        <v>690745</v>
      </c>
      <c r="F11" s="19">
        <f>E11-(E11/1.12)</f>
        <v>74008.39285714296</v>
      </c>
      <c r="G11" s="19">
        <f>J11*132</f>
        <v>0</v>
      </c>
      <c r="H11" s="6">
        <f>E11/12</f>
        <v>57562.083333333336</v>
      </c>
      <c r="I11" s="6"/>
      <c r="J11" s="6">
        <v>0</v>
      </c>
      <c r="K11" s="19">
        <f>J11*146</f>
        <v>0</v>
      </c>
      <c r="L11" s="24">
        <f>(E11-K11)/12</f>
        <v>57562.083333333336</v>
      </c>
      <c r="M11" s="25">
        <f>E11/1752</f>
        <v>394.26084474885846</v>
      </c>
      <c r="N11" s="25">
        <f>M11*1.65</f>
        <v>650.5303938356165</v>
      </c>
      <c r="O11" s="25">
        <f>(E11-(813*146))/1950</f>
        <v>293.3574358974359</v>
      </c>
    </row>
    <row r="12" spans="1:15" ht="10.5" customHeight="1">
      <c r="A12" s="4" t="s">
        <v>30</v>
      </c>
      <c r="B12" s="23"/>
      <c r="C12" s="23"/>
      <c r="D12" s="23"/>
      <c r="E12" s="16">
        <v>695745</v>
      </c>
      <c r="F12" s="19">
        <f>E12-(E12/1.12)</f>
        <v>74544.10714285716</v>
      </c>
      <c r="G12" s="19">
        <f>J12*132</f>
        <v>0</v>
      </c>
      <c r="H12" s="6">
        <f>E12/12</f>
        <v>57978.75</v>
      </c>
      <c r="I12" s="6"/>
      <c r="J12" s="6">
        <v>0</v>
      </c>
      <c r="K12" s="19">
        <f>J12*146</f>
        <v>0</v>
      </c>
      <c r="L12" s="24">
        <f>(E12-K12)/12</f>
        <v>57978.75</v>
      </c>
      <c r="M12" s="25">
        <f>E12/1752</f>
        <v>397.11472602739724</v>
      </c>
      <c r="N12" s="25">
        <f>M12*1.65</f>
        <v>655.2392979452054</v>
      </c>
      <c r="O12" s="25">
        <f>(E12-(813*146))/1950</f>
        <v>295.9215384615385</v>
      </c>
    </row>
    <row r="13" spans="1:15" ht="10.5" customHeight="1">
      <c r="A13" s="4" t="s">
        <v>35</v>
      </c>
      <c r="B13" s="23"/>
      <c r="C13" s="23"/>
      <c r="D13" s="23"/>
      <c r="E13" s="16">
        <v>700745</v>
      </c>
      <c r="F13" s="19">
        <f>E13-(E13/1.12)</f>
        <v>75079.82142857148</v>
      </c>
      <c r="G13" s="19">
        <f>J13*132</f>
        <v>0</v>
      </c>
      <c r="H13" s="6">
        <f>E13/12</f>
        <v>58395.416666666664</v>
      </c>
      <c r="I13" s="6"/>
      <c r="J13" s="6">
        <v>0</v>
      </c>
      <c r="K13" s="19">
        <f>J13*146</f>
        <v>0</v>
      </c>
      <c r="L13" s="24">
        <f>(E13-K13)/12</f>
        <v>58395.416666666664</v>
      </c>
      <c r="M13" s="25">
        <f>E13/1752</f>
        <v>399.9686073059361</v>
      </c>
      <c r="N13" s="25">
        <f>M13*1.65</f>
        <v>659.9482020547945</v>
      </c>
      <c r="O13" s="25">
        <f t="shared" si="7"/>
        <v>298.48564102564103</v>
      </c>
    </row>
    <row r="14" spans="1:15" ht="10.5" customHeight="1">
      <c r="A14" s="4" t="s">
        <v>60</v>
      </c>
      <c r="B14" s="23"/>
      <c r="C14" s="23"/>
      <c r="D14" s="23"/>
      <c r="E14" s="16">
        <v>705745</v>
      </c>
      <c r="F14" s="19">
        <f>E14-(E14/1.12)</f>
        <v>75615.5357142858</v>
      </c>
      <c r="G14" s="19">
        <f>J14*132</f>
        <v>0</v>
      </c>
      <c r="H14" s="6">
        <f>E14/12</f>
        <v>58812.083333333336</v>
      </c>
      <c r="I14" s="6"/>
      <c r="J14" s="6">
        <v>0</v>
      </c>
      <c r="K14" s="19">
        <f>J14*146</f>
        <v>0</v>
      </c>
      <c r="L14" s="24">
        <f>(E14-K14)/12</f>
        <v>58812.083333333336</v>
      </c>
      <c r="M14" s="25">
        <f>E14/1752</f>
        <v>402.8224885844749</v>
      </c>
      <c r="N14" s="25">
        <f>M14*1.65</f>
        <v>664.6571061643835</v>
      </c>
      <c r="O14" s="25">
        <f>(E14-(813*146))/1950</f>
        <v>301.04974358974357</v>
      </c>
    </row>
    <row r="15" spans="1:15" ht="10.5" customHeight="1">
      <c r="A15" s="4" t="s">
        <v>63</v>
      </c>
      <c r="B15" s="23"/>
      <c r="C15" s="23"/>
      <c r="D15" s="23"/>
      <c r="E15" s="16">
        <f>706245+4500</f>
        <v>710745</v>
      </c>
      <c r="F15" s="19">
        <f>E15-(E15/1.12)</f>
        <v>76151.25000000012</v>
      </c>
      <c r="G15" s="19">
        <f>J15*132</f>
        <v>0</v>
      </c>
      <c r="H15" s="6">
        <f>E15/12</f>
        <v>59228.75</v>
      </c>
      <c r="I15" s="6"/>
      <c r="J15" s="6">
        <v>0</v>
      </c>
      <c r="K15" s="19">
        <f>J15*146</f>
        <v>0</v>
      </c>
      <c r="L15" s="24">
        <f>(E15-K15)/12</f>
        <v>59228.75</v>
      </c>
      <c r="M15" s="25">
        <f>E15/1752</f>
        <v>405.6763698630137</v>
      </c>
      <c r="N15" s="25">
        <f>M15*1.65</f>
        <v>669.3660102739725</v>
      </c>
      <c r="O15" s="25">
        <f t="shared" si="7"/>
        <v>303.61384615384617</v>
      </c>
    </row>
    <row r="16" spans="1:15" ht="10.5" customHeight="1">
      <c r="A16" s="4"/>
      <c r="B16" s="23"/>
      <c r="C16" s="23"/>
      <c r="D16" s="23"/>
      <c r="E16" s="20"/>
      <c r="F16" s="16"/>
      <c r="G16" s="16"/>
      <c r="H16" s="27"/>
      <c r="I16" s="28"/>
      <c r="J16" s="6"/>
      <c r="K16" s="19"/>
      <c r="L16" s="24"/>
      <c r="M16" s="25"/>
      <c r="N16" s="25"/>
      <c r="O16" s="25"/>
    </row>
    <row r="17" spans="1:19" ht="10.5" customHeight="1">
      <c r="A17" s="4" t="s">
        <v>36</v>
      </c>
      <c r="B17" s="38" t="s">
        <v>37</v>
      </c>
      <c r="C17" s="23" t="s">
        <v>20</v>
      </c>
      <c r="D17" s="23" t="s">
        <v>48</v>
      </c>
      <c r="E17" s="16">
        <f>634972+5160+3100+9100+7166+4500</f>
        <v>663998</v>
      </c>
      <c r="F17" s="19">
        <f aca="true" t="shared" si="8" ref="F17:F26">E17-(E17/1.12)</f>
        <v>71142.64285714296</v>
      </c>
      <c r="G17" s="19">
        <f aca="true" t="shared" si="9" ref="G17:G25">J17*132</f>
        <v>0</v>
      </c>
      <c r="H17" s="6">
        <f aca="true" t="shared" si="10" ref="H17:H26">E17/12</f>
        <v>55333.166666666664</v>
      </c>
      <c r="I17" s="28"/>
      <c r="J17" s="6">
        <v>0</v>
      </c>
      <c r="K17" s="28">
        <f aca="true" t="shared" si="11" ref="K17:K27">892+14+9</f>
        <v>915</v>
      </c>
      <c r="L17" s="19">
        <f aca="true" t="shared" si="12" ref="L17:L24">J17*146</f>
        <v>0</v>
      </c>
      <c r="M17" s="25">
        <f aca="true" t="shared" si="13" ref="M17:M26">E17/1752</f>
        <v>378.99429223744295</v>
      </c>
      <c r="N17" s="25">
        <f aca="true" t="shared" si="14" ref="N17:N26">M17*1.65</f>
        <v>625.3405821917809</v>
      </c>
      <c r="O17" s="25">
        <f t="shared" si="7"/>
        <v>279.64102564102564</v>
      </c>
      <c r="P17" s="25"/>
      <c r="Q17" s="30"/>
      <c r="R17" s="30"/>
      <c r="S17" s="30"/>
    </row>
    <row r="18" spans="1:19" ht="10.5" customHeight="1">
      <c r="A18" s="4" t="s">
        <v>38</v>
      </c>
      <c r="B18" s="23"/>
      <c r="C18" s="23" t="s">
        <v>47</v>
      </c>
      <c r="D18" s="23"/>
      <c r="E18" s="16">
        <f>647895+5160+3100+9100+7166+4500</f>
        <v>676921</v>
      </c>
      <c r="F18" s="19">
        <f t="shared" si="8"/>
        <v>72527.25</v>
      </c>
      <c r="G18" s="19">
        <f t="shared" si="9"/>
        <v>0</v>
      </c>
      <c r="H18" s="6">
        <f t="shared" si="10"/>
        <v>56410.083333333336</v>
      </c>
      <c r="I18" s="28"/>
      <c r="J18" s="6">
        <v>0</v>
      </c>
      <c r="K18" s="28">
        <f t="shared" si="11"/>
        <v>915</v>
      </c>
      <c r="L18" s="19">
        <f t="shared" si="12"/>
        <v>0</v>
      </c>
      <c r="M18" s="25">
        <f t="shared" si="13"/>
        <v>386.37043378995435</v>
      </c>
      <c r="N18" s="25">
        <f t="shared" si="14"/>
        <v>637.5112157534246</v>
      </c>
      <c r="O18" s="25">
        <f t="shared" si="7"/>
        <v>286.2682051282051</v>
      </c>
      <c r="P18" s="25"/>
      <c r="Q18" s="30"/>
      <c r="R18" s="30"/>
      <c r="S18" s="30"/>
    </row>
    <row r="19" spans="1:19" ht="10.5" customHeight="1">
      <c r="A19" s="4" t="s">
        <v>39</v>
      </c>
      <c r="B19" s="23"/>
      <c r="C19" s="30"/>
      <c r="D19" s="26"/>
      <c r="E19" s="16">
        <f>664342+5160+3100+9100+7166+4500</f>
        <v>693368</v>
      </c>
      <c r="F19" s="19">
        <f t="shared" si="8"/>
        <v>74289.42857142864</v>
      </c>
      <c r="G19" s="19">
        <f t="shared" si="9"/>
        <v>0</v>
      </c>
      <c r="H19" s="6">
        <f t="shared" si="10"/>
        <v>57780.666666666664</v>
      </c>
      <c r="I19" s="28"/>
      <c r="J19" s="6">
        <v>0</v>
      </c>
      <c r="K19" s="28">
        <f t="shared" si="11"/>
        <v>915</v>
      </c>
      <c r="L19" s="19">
        <f t="shared" si="12"/>
        <v>0</v>
      </c>
      <c r="M19" s="25">
        <f t="shared" si="13"/>
        <v>395.7579908675799</v>
      </c>
      <c r="N19" s="25">
        <f t="shared" si="14"/>
        <v>653.0006849315068</v>
      </c>
      <c r="O19" s="25">
        <f t="shared" si="7"/>
        <v>294.7025641025641</v>
      </c>
      <c r="P19" s="25"/>
      <c r="Q19" s="30"/>
      <c r="R19" s="30"/>
      <c r="S19" s="30"/>
    </row>
    <row r="20" spans="1:19" ht="10.5" customHeight="1">
      <c r="A20" s="4" t="s">
        <v>40</v>
      </c>
      <c r="B20" s="23"/>
      <c r="C20" s="30"/>
      <c r="D20" s="26"/>
      <c r="E20" s="16">
        <v>703562</v>
      </c>
      <c r="F20" s="19">
        <f>E20-(E20/1.12)</f>
        <v>75381.64285714296</v>
      </c>
      <c r="G20" s="19">
        <f>J20*132</f>
        <v>0</v>
      </c>
      <c r="H20" s="6">
        <f>E20/12</f>
        <v>58630.166666666664</v>
      </c>
      <c r="I20" s="28"/>
      <c r="J20" s="6">
        <v>0</v>
      </c>
      <c r="K20" s="28">
        <f t="shared" si="11"/>
        <v>915</v>
      </c>
      <c r="L20" s="19">
        <f t="shared" si="12"/>
        <v>0</v>
      </c>
      <c r="M20" s="25">
        <f>E20/1752</f>
        <v>401.57648401826486</v>
      </c>
      <c r="N20" s="25">
        <f>M20*1.65</f>
        <v>662.601198630137</v>
      </c>
      <c r="O20" s="25">
        <f>(E20-(813*146))/1950</f>
        <v>299.9302564102564</v>
      </c>
      <c r="P20" s="25"/>
      <c r="Q20" s="30"/>
      <c r="R20" s="30"/>
      <c r="S20" s="30"/>
    </row>
    <row r="21" spans="1:19" ht="10.5" customHeight="1">
      <c r="A21" s="4" t="s">
        <v>41</v>
      </c>
      <c r="B21" s="23"/>
      <c r="C21" s="30"/>
      <c r="D21" s="26"/>
      <c r="E21" s="16">
        <v>708562</v>
      </c>
      <c r="F21" s="19">
        <f>E21-(E21/1.12)</f>
        <v>75917.35714285716</v>
      </c>
      <c r="G21" s="19">
        <f>J21*132</f>
        <v>0</v>
      </c>
      <c r="H21" s="6">
        <f>E21/12</f>
        <v>59046.833333333336</v>
      </c>
      <c r="I21" s="28"/>
      <c r="J21" s="6">
        <v>0</v>
      </c>
      <c r="K21" s="28">
        <f t="shared" si="11"/>
        <v>915</v>
      </c>
      <c r="L21" s="19">
        <f t="shared" si="12"/>
        <v>0</v>
      </c>
      <c r="M21" s="25">
        <f>E21/1752</f>
        <v>404.43036529680364</v>
      </c>
      <c r="N21" s="25">
        <f>M21*1.65</f>
        <v>667.310102739726</v>
      </c>
      <c r="O21" s="25">
        <f>(E21-(813*146))/1950</f>
        <v>302.494358974359</v>
      </c>
      <c r="P21" s="25"/>
      <c r="Q21" s="30"/>
      <c r="R21" s="30"/>
      <c r="S21" s="30"/>
    </row>
    <row r="22" spans="1:19" ht="10.5" customHeight="1">
      <c r="A22" s="4" t="s">
        <v>42</v>
      </c>
      <c r="B22" s="23"/>
      <c r="C22" s="30"/>
      <c r="D22" s="26"/>
      <c r="E22" s="16">
        <v>713562</v>
      </c>
      <c r="F22" s="19">
        <f>E22-(E22/1.12)</f>
        <v>76453.07142857148</v>
      </c>
      <c r="G22" s="19">
        <f>J22*132</f>
        <v>0</v>
      </c>
      <c r="H22" s="6">
        <f>E22/12</f>
        <v>59463.5</v>
      </c>
      <c r="I22" s="28"/>
      <c r="J22" s="6">
        <v>0</v>
      </c>
      <c r="K22" s="28">
        <f t="shared" si="11"/>
        <v>915</v>
      </c>
      <c r="L22" s="19">
        <f t="shared" si="12"/>
        <v>0</v>
      </c>
      <c r="M22" s="25">
        <f>E22/1752</f>
        <v>407.2842465753425</v>
      </c>
      <c r="N22" s="25">
        <f>M22*1.65</f>
        <v>672.019006849315</v>
      </c>
      <c r="O22" s="25">
        <f>(E22-(813*146))/1950</f>
        <v>305.05846153846153</v>
      </c>
      <c r="P22" s="25"/>
      <c r="Q22" s="30"/>
      <c r="R22" s="30"/>
      <c r="S22" s="30"/>
    </row>
    <row r="23" spans="1:19" ht="10.5" customHeight="1">
      <c r="A23" s="4" t="s">
        <v>43</v>
      </c>
      <c r="B23" s="23"/>
      <c r="C23" s="30"/>
      <c r="D23" s="26"/>
      <c r="E23" s="16">
        <v>718562</v>
      </c>
      <c r="F23" s="19">
        <f>E23-(E23/1.12)</f>
        <v>76988.7857142858</v>
      </c>
      <c r="G23" s="19">
        <f>J23*132</f>
        <v>0</v>
      </c>
      <c r="H23" s="6">
        <f>E23/12</f>
        <v>59880.166666666664</v>
      </c>
      <c r="I23" s="28"/>
      <c r="J23" s="6">
        <v>0</v>
      </c>
      <c r="K23" s="28">
        <f t="shared" si="11"/>
        <v>915</v>
      </c>
      <c r="L23" s="19">
        <f t="shared" si="12"/>
        <v>0</v>
      </c>
      <c r="M23" s="25">
        <f>E23/1752</f>
        <v>410.13812785388126</v>
      </c>
      <c r="N23" s="25">
        <f>M23*1.65</f>
        <v>676.7279109589041</v>
      </c>
      <c r="O23" s="25">
        <f>(E23-(813*146))/1950</f>
        <v>307.6225641025641</v>
      </c>
      <c r="P23" s="25"/>
      <c r="Q23" s="30"/>
      <c r="R23" s="30"/>
      <c r="S23" s="30"/>
    </row>
    <row r="24" spans="1:19" ht="10.5" customHeight="1">
      <c r="A24" s="4" t="s">
        <v>44</v>
      </c>
      <c r="B24" s="23"/>
      <c r="C24" s="30"/>
      <c r="D24" s="26"/>
      <c r="E24" s="16">
        <v>723562</v>
      </c>
      <c r="F24" s="19">
        <f t="shared" si="8"/>
        <v>77524.50000000012</v>
      </c>
      <c r="G24" s="19">
        <f t="shared" si="9"/>
        <v>0</v>
      </c>
      <c r="H24" s="6">
        <f t="shared" si="10"/>
        <v>60296.833333333336</v>
      </c>
      <c r="I24" s="28"/>
      <c r="J24" s="6">
        <v>0</v>
      </c>
      <c r="K24" s="28">
        <f t="shared" si="11"/>
        <v>915</v>
      </c>
      <c r="L24" s="19">
        <f t="shared" si="12"/>
        <v>0</v>
      </c>
      <c r="M24" s="25">
        <f t="shared" si="13"/>
        <v>412.9920091324201</v>
      </c>
      <c r="N24" s="25">
        <f t="shared" si="14"/>
        <v>681.4368150684932</v>
      </c>
      <c r="O24" s="25">
        <f t="shared" si="7"/>
        <v>310.18666666666667</v>
      </c>
      <c r="P24" s="25"/>
      <c r="Q24" s="30"/>
      <c r="R24" s="30"/>
      <c r="S24" s="30"/>
    </row>
    <row r="25" spans="1:19" ht="10.5" customHeight="1">
      <c r="A25" s="4" t="s">
        <v>45</v>
      </c>
      <c r="B25" s="23"/>
      <c r="C25" s="30"/>
      <c r="D25" s="26"/>
      <c r="E25" s="16">
        <v>728562</v>
      </c>
      <c r="F25" s="19">
        <f t="shared" si="8"/>
        <v>78060.21428571432</v>
      </c>
      <c r="G25" s="19">
        <f t="shared" si="9"/>
        <v>0</v>
      </c>
      <c r="H25" s="6">
        <f t="shared" si="10"/>
        <v>60713.5</v>
      </c>
      <c r="I25" s="28"/>
      <c r="J25" s="6">
        <v>0</v>
      </c>
      <c r="K25" s="28">
        <f t="shared" si="11"/>
        <v>915</v>
      </c>
      <c r="L25" s="19"/>
      <c r="M25" s="25">
        <f t="shared" si="13"/>
        <v>415.84589041095893</v>
      </c>
      <c r="N25" s="25">
        <f t="shared" si="14"/>
        <v>686.1457191780822</v>
      </c>
      <c r="O25" s="25">
        <f t="shared" si="7"/>
        <v>312.7507692307692</v>
      </c>
      <c r="P25" s="25"/>
      <c r="Q25" s="30"/>
      <c r="R25" s="30"/>
      <c r="S25" s="30"/>
    </row>
    <row r="26" spans="1:19" ht="10.5" customHeight="1">
      <c r="A26" s="4" t="s">
        <v>46</v>
      </c>
      <c r="B26" s="23"/>
      <c r="C26" s="30"/>
      <c r="D26" s="26"/>
      <c r="E26" s="16">
        <v>733562</v>
      </c>
      <c r="F26" s="19">
        <f t="shared" si="8"/>
        <v>78595.92857142864</v>
      </c>
      <c r="G26" s="19">
        <f>J26*132</f>
        <v>0</v>
      </c>
      <c r="H26" s="6">
        <f t="shared" si="10"/>
        <v>61130.166666666664</v>
      </c>
      <c r="I26" s="28"/>
      <c r="J26" s="6">
        <v>0</v>
      </c>
      <c r="K26" s="28">
        <f t="shared" si="11"/>
        <v>915</v>
      </c>
      <c r="L26" s="19"/>
      <c r="M26" s="25">
        <f t="shared" si="13"/>
        <v>418.6997716894977</v>
      </c>
      <c r="N26" s="25">
        <f t="shared" si="14"/>
        <v>690.8546232876712</v>
      </c>
      <c r="O26" s="25">
        <f t="shared" si="7"/>
        <v>315.3148717948718</v>
      </c>
      <c r="P26" s="25"/>
      <c r="Q26" s="30"/>
      <c r="R26" s="30"/>
      <c r="S26" s="30"/>
    </row>
    <row r="27" spans="1:19" ht="10.5" customHeight="1">
      <c r="A27" s="4" t="s">
        <v>64</v>
      </c>
      <c r="B27" s="23"/>
      <c r="C27" s="30"/>
      <c r="D27" s="26"/>
      <c r="E27" s="16">
        <v>738562</v>
      </c>
      <c r="F27" s="19">
        <f>E27-(E27/1.12)</f>
        <v>79131.64285714296</v>
      </c>
      <c r="G27" s="19">
        <f>J27*132</f>
        <v>0</v>
      </c>
      <c r="H27" s="6">
        <f>E27/12</f>
        <v>61546.833333333336</v>
      </c>
      <c r="I27" s="28"/>
      <c r="J27" s="6">
        <v>0</v>
      </c>
      <c r="K27" s="28">
        <f t="shared" si="11"/>
        <v>915</v>
      </c>
      <c r="L27" s="19"/>
      <c r="M27" s="25">
        <f>E27/1752</f>
        <v>421.55365296803654</v>
      </c>
      <c r="N27" s="25">
        <f>M27*1.65</f>
        <v>695.5635273972603</v>
      </c>
      <c r="O27" s="25">
        <f>(E27-(813*146))/1950</f>
        <v>317.87897435897435</v>
      </c>
      <c r="P27" s="25"/>
      <c r="Q27" s="30"/>
      <c r="R27" s="30"/>
      <c r="S27" s="30"/>
    </row>
  </sheetData>
  <sheetProtection/>
  <printOptions/>
  <pageMargins left="0.31496062992125984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7"/>
  <sheetViews>
    <sheetView zoomScale="124" zoomScaleNormal="124" zoomScalePageLayoutView="0" workbookViewId="0" topLeftCell="A1">
      <selection activeCell="E5" sqref="E5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65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</v>
      </c>
      <c r="B4" s="23" t="s">
        <v>23</v>
      </c>
      <c r="C4" s="23" t="s">
        <v>20</v>
      </c>
      <c r="D4" s="23" t="s">
        <v>22</v>
      </c>
      <c r="E4" s="16">
        <f>598933+5160+3100+9100+7166+4500+19700</f>
        <v>647659</v>
      </c>
      <c r="F4" s="19">
        <f aca="true" t="shared" si="0" ref="F4:F10">E4-(E4/1.12)</f>
        <v>69392.0357142858</v>
      </c>
      <c r="G4" s="19">
        <f aca="true" t="shared" si="1" ref="G4:G10">J4*132</f>
        <v>0</v>
      </c>
      <c r="H4" s="6">
        <f aca="true" t="shared" si="2" ref="H4:H10">E4/12</f>
        <v>53971.583333333336</v>
      </c>
      <c r="I4" s="6"/>
      <c r="J4" s="6">
        <v>0</v>
      </c>
      <c r="K4" s="19">
        <f aca="true" t="shared" si="3" ref="K4:K10">J4*146</f>
        <v>0</v>
      </c>
      <c r="L4" s="24">
        <f aca="true" t="shared" si="4" ref="L4:L10">(E4-K4)/12</f>
        <v>53971.583333333336</v>
      </c>
      <c r="M4" s="25">
        <f aca="true" t="shared" si="5" ref="M4:M10">E4/1752</f>
        <v>369.6683789954338</v>
      </c>
      <c r="N4" s="25">
        <f aca="true" t="shared" si="6" ref="N4:N10">M4*1.65</f>
        <v>609.9528253424658</v>
      </c>
      <c r="O4" s="25">
        <f>(E4-(856*146))/1950</f>
        <v>268.0425641025641</v>
      </c>
    </row>
    <row r="5" spans="1:15" ht="10.5" customHeight="1">
      <c r="A5" s="4" t="s">
        <v>2</v>
      </c>
      <c r="B5" s="23"/>
      <c r="C5" s="23" t="s">
        <v>21</v>
      </c>
      <c r="D5" s="23"/>
      <c r="E5" s="16">
        <f>611448+5160+3100+9100+7166+4500+19700</f>
        <v>660174</v>
      </c>
      <c r="F5" s="19">
        <f t="shared" si="0"/>
        <v>70732.92857142864</v>
      </c>
      <c r="G5" s="19">
        <f t="shared" si="1"/>
        <v>0</v>
      </c>
      <c r="H5" s="6">
        <f t="shared" si="2"/>
        <v>55014.5</v>
      </c>
      <c r="I5" s="6"/>
      <c r="J5" s="6">
        <v>0</v>
      </c>
      <c r="K5" s="19">
        <f t="shared" si="3"/>
        <v>0</v>
      </c>
      <c r="L5" s="24">
        <f t="shared" si="4"/>
        <v>55014.5</v>
      </c>
      <c r="M5" s="25">
        <f t="shared" si="5"/>
        <v>376.81164383561645</v>
      </c>
      <c r="N5" s="25">
        <f t="shared" si="6"/>
        <v>621.7392123287672</v>
      </c>
      <c r="O5" s="25">
        <f aca="true" t="shared" si="7" ref="O5:O27">(E5-(856*146))/1950</f>
        <v>274.4605128205128</v>
      </c>
    </row>
    <row r="6" spans="1:15" ht="10.5" customHeight="1">
      <c r="A6" s="4" t="s">
        <v>12</v>
      </c>
      <c r="B6" s="23"/>
      <c r="C6" s="23"/>
      <c r="D6" s="23"/>
      <c r="E6" s="16">
        <f>623965+5160+3100+9100+7166+4500+19700</f>
        <v>672691</v>
      </c>
      <c r="F6" s="19">
        <f t="shared" si="0"/>
        <v>72074.0357142858</v>
      </c>
      <c r="G6" s="19">
        <f t="shared" si="1"/>
        <v>0</v>
      </c>
      <c r="H6" s="6">
        <f t="shared" si="2"/>
        <v>56057.583333333336</v>
      </c>
      <c r="I6" s="6"/>
      <c r="J6" s="6">
        <v>0</v>
      </c>
      <c r="K6" s="19">
        <f t="shared" si="3"/>
        <v>0</v>
      </c>
      <c r="L6" s="24">
        <f t="shared" si="4"/>
        <v>56057.583333333336</v>
      </c>
      <c r="M6" s="25">
        <f t="shared" si="5"/>
        <v>383.9560502283105</v>
      </c>
      <c r="N6" s="25">
        <f t="shared" si="6"/>
        <v>633.5274828767123</v>
      </c>
      <c r="O6" s="25">
        <f t="shared" si="7"/>
        <v>280.87948717948717</v>
      </c>
    </row>
    <row r="7" spans="1:15" ht="10.5" customHeight="1">
      <c r="A7" s="4" t="s">
        <v>13</v>
      </c>
      <c r="B7" s="23"/>
      <c r="C7" s="23"/>
      <c r="D7" s="23"/>
      <c r="E7" s="16">
        <f>640371+5160+3100+9100+7166+4500+19700</f>
        <v>689097</v>
      </c>
      <c r="F7" s="19">
        <f t="shared" si="0"/>
        <v>73831.82142857148</v>
      </c>
      <c r="G7" s="19">
        <f t="shared" si="1"/>
        <v>0</v>
      </c>
      <c r="H7" s="6">
        <f t="shared" si="2"/>
        <v>57424.75</v>
      </c>
      <c r="I7" s="6"/>
      <c r="J7" s="6">
        <v>0</v>
      </c>
      <c r="K7" s="19">
        <f t="shared" si="3"/>
        <v>0</v>
      </c>
      <c r="L7" s="24">
        <f t="shared" si="4"/>
        <v>57424.75</v>
      </c>
      <c r="M7" s="25">
        <f t="shared" si="5"/>
        <v>393.32020547945206</v>
      </c>
      <c r="N7" s="25">
        <f t="shared" si="6"/>
        <v>648.9783390410959</v>
      </c>
      <c r="O7" s="25">
        <f t="shared" si="7"/>
        <v>289.2928205128205</v>
      </c>
    </row>
    <row r="8" spans="1:15" ht="10.5" customHeight="1">
      <c r="A8" s="4" t="s">
        <v>3</v>
      </c>
      <c r="B8" s="23"/>
      <c r="C8" s="23"/>
      <c r="D8" s="23"/>
      <c r="E8" s="16">
        <f>675745+19700</f>
        <v>695445</v>
      </c>
      <c r="F8" s="19">
        <f>E8-(E8/1.12)</f>
        <v>74511.96428571432</v>
      </c>
      <c r="G8" s="19">
        <f>J8*132</f>
        <v>0</v>
      </c>
      <c r="H8" s="6">
        <f>E8/12</f>
        <v>57953.75</v>
      </c>
      <c r="I8" s="6"/>
      <c r="J8" s="6">
        <v>0</v>
      </c>
      <c r="K8" s="19">
        <f>J8*146</f>
        <v>0</v>
      </c>
      <c r="L8" s="24">
        <f>(E8-K8)/12</f>
        <v>57953.75</v>
      </c>
      <c r="M8" s="25">
        <f>E8/1752</f>
        <v>396.94349315068496</v>
      </c>
      <c r="N8" s="25">
        <f>M8*1.65</f>
        <v>654.9567636986302</v>
      </c>
      <c r="O8" s="25">
        <f t="shared" si="7"/>
        <v>292.54820512820515</v>
      </c>
    </row>
    <row r="9" spans="1:15" ht="10.5" customHeight="1">
      <c r="A9" s="4" t="s">
        <v>14</v>
      </c>
      <c r="B9" s="23" t="s">
        <v>29</v>
      </c>
      <c r="C9" s="23"/>
      <c r="D9" s="23"/>
      <c r="E9" s="16">
        <f>680745+19700</f>
        <v>700445</v>
      </c>
      <c r="F9" s="19">
        <f>E9-(E9/1.12)</f>
        <v>75047.67857142864</v>
      </c>
      <c r="G9" s="19">
        <f>J9*132</f>
        <v>0</v>
      </c>
      <c r="H9" s="6">
        <f>E9/12</f>
        <v>58370.416666666664</v>
      </c>
      <c r="I9" s="6"/>
      <c r="J9" s="6">
        <v>0</v>
      </c>
      <c r="K9" s="19">
        <f>J9*146</f>
        <v>0</v>
      </c>
      <c r="L9" s="24">
        <f>(E9-K9)/12</f>
        <v>58370.416666666664</v>
      </c>
      <c r="M9" s="25">
        <f>E9/1752</f>
        <v>399.79737442922374</v>
      </c>
      <c r="N9" s="25">
        <f>M9*1.65</f>
        <v>659.6656678082192</v>
      </c>
      <c r="O9" s="25">
        <f t="shared" si="7"/>
        <v>295.1123076923077</v>
      </c>
    </row>
    <row r="10" spans="1:15" ht="10.5" customHeight="1">
      <c r="A10" s="4" t="s">
        <v>15</v>
      </c>
      <c r="B10" s="23"/>
      <c r="C10" s="23"/>
      <c r="D10" s="23"/>
      <c r="E10" s="16">
        <f>685745+19700</f>
        <v>705445</v>
      </c>
      <c r="F10" s="19">
        <f t="shared" si="0"/>
        <v>75583.39285714296</v>
      </c>
      <c r="G10" s="19">
        <f t="shared" si="1"/>
        <v>0</v>
      </c>
      <c r="H10" s="6">
        <f t="shared" si="2"/>
        <v>58787.083333333336</v>
      </c>
      <c r="I10" s="6"/>
      <c r="J10" s="6">
        <v>0</v>
      </c>
      <c r="K10" s="19">
        <f t="shared" si="3"/>
        <v>0</v>
      </c>
      <c r="L10" s="24">
        <f t="shared" si="4"/>
        <v>58787.083333333336</v>
      </c>
      <c r="M10" s="25">
        <f t="shared" si="5"/>
        <v>402.6512557077626</v>
      </c>
      <c r="N10" s="25">
        <f t="shared" si="6"/>
        <v>664.3745719178082</v>
      </c>
      <c r="O10" s="25">
        <f t="shared" si="7"/>
        <v>297.67641025641024</v>
      </c>
    </row>
    <row r="11" spans="1:15" ht="10.5" customHeight="1">
      <c r="A11" s="4" t="s">
        <v>16</v>
      </c>
      <c r="B11" s="23"/>
      <c r="C11" s="23"/>
      <c r="D11" s="23"/>
      <c r="E11" s="16">
        <f>690745+19700</f>
        <v>710445</v>
      </c>
      <c r="F11" s="19">
        <f>E11-(E11/1.12)</f>
        <v>76119.10714285716</v>
      </c>
      <c r="G11" s="19">
        <f>J11*132</f>
        <v>0</v>
      </c>
      <c r="H11" s="6">
        <f>E11/12</f>
        <v>59203.75</v>
      </c>
      <c r="I11" s="6"/>
      <c r="J11" s="6">
        <v>0</v>
      </c>
      <c r="K11" s="19">
        <f>J11*146</f>
        <v>0</v>
      </c>
      <c r="L11" s="24">
        <f>(E11-K11)/12</f>
        <v>59203.75</v>
      </c>
      <c r="M11" s="25">
        <f>E11/1752</f>
        <v>405.50513698630135</v>
      </c>
      <c r="N11" s="25">
        <f>M11*1.65</f>
        <v>669.0834760273972</v>
      </c>
      <c r="O11" s="25">
        <f t="shared" si="7"/>
        <v>300.24051282051283</v>
      </c>
    </row>
    <row r="12" spans="1:15" ht="10.5" customHeight="1">
      <c r="A12" s="4" t="s">
        <v>30</v>
      </c>
      <c r="B12" s="23"/>
      <c r="C12" s="23"/>
      <c r="D12" s="23"/>
      <c r="E12" s="16">
        <f>695745+19700</f>
        <v>715445</v>
      </c>
      <c r="F12" s="19">
        <f>E12-(E12/1.12)</f>
        <v>76654.82142857148</v>
      </c>
      <c r="G12" s="19">
        <f>J12*132</f>
        <v>0</v>
      </c>
      <c r="H12" s="6">
        <f>E12/12</f>
        <v>59620.416666666664</v>
      </c>
      <c r="I12" s="6"/>
      <c r="J12" s="6">
        <v>0</v>
      </c>
      <c r="K12" s="19">
        <f>J12*146</f>
        <v>0</v>
      </c>
      <c r="L12" s="24">
        <f>(E12-K12)/12</f>
        <v>59620.416666666664</v>
      </c>
      <c r="M12" s="25">
        <f>E12/1752</f>
        <v>408.3590182648402</v>
      </c>
      <c r="N12" s="25">
        <f>M12*1.65</f>
        <v>673.7923801369863</v>
      </c>
      <c r="O12" s="25">
        <f t="shared" si="7"/>
        <v>302.8046153846154</v>
      </c>
    </row>
    <row r="13" spans="1:15" ht="10.5" customHeight="1">
      <c r="A13" s="4" t="s">
        <v>35</v>
      </c>
      <c r="B13" s="23"/>
      <c r="C13" s="23"/>
      <c r="D13" s="23"/>
      <c r="E13" s="16">
        <f>700745+19700</f>
        <v>720445</v>
      </c>
      <c r="F13" s="19">
        <f>E13-(E13/1.12)</f>
        <v>77190.5357142858</v>
      </c>
      <c r="G13" s="19">
        <f>J13*132</f>
        <v>0</v>
      </c>
      <c r="H13" s="6">
        <f>E13/12</f>
        <v>60037.083333333336</v>
      </c>
      <c r="I13" s="6"/>
      <c r="J13" s="6">
        <v>0</v>
      </c>
      <c r="K13" s="19">
        <f>J13*146</f>
        <v>0</v>
      </c>
      <c r="L13" s="24">
        <f>(E13-K13)/12</f>
        <v>60037.083333333336</v>
      </c>
      <c r="M13" s="25">
        <f>E13/1752</f>
        <v>411.212899543379</v>
      </c>
      <c r="N13" s="25">
        <f>M13*1.65</f>
        <v>678.5012842465753</v>
      </c>
      <c r="O13" s="25">
        <f t="shared" si="7"/>
        <v>305.368717948718</v>
      </c>
    </row>
    <row r="14" spans="1:15" ht="10.5" customHeight="1">
      <c r="A14" s="4" t="s">
        <v>60</v>
      </c>
      <c r="B14" s="23"/>
      <c r="C14" s="23"/>
      <c r="D14" s="23"/>
      <c r="E14" s="16">
        <f>705745+19700</f>
        <v>725445</v>
      </c>
      <c r="F14" s="19">
        <f>E14-(E14/1.12)</f>
        <v>77726.25000000012</v>
      </c>
      <c r="G14" s="19">
        <f>J14*132</f>
        <v>0</v>
      </c>
      <c r="H14" s="6">
        <f>E14/12</f>
        <v>60453.75</v>
      </c>
      <c r="I14" s="6"/>
      <c r="J14" s="6">
        <v>0</v>
      </c>
      <c r="K14" s="19">
        <f>J14*146</f>
        <v>0</v>
      </c>
      <c r="L14" s="24">
        <f>(E14-K14)/12</f>
        <v>60453.75</v>
      </c>
      <c r="M14" s="25">
        <f>E14/1752</f>
        <v>414.0667808219178</v>
      </c>
      <c r="N14" s="25">
        <f>M14*1.65</f>
        <v>683.2101883561644</v>
      </c>
      <c r="O14" s="25">
        <f t="shared" si="7"/>
        <v>307.9328205128205</v>
      </c>
    </row>
    <row r="15" spans="1:15" ht="10.5" customHeight="1">
      <c r="A15" s="4" t="s">
        <v>63</v>
      </c>
      <c r="B15" s="23"/>
      <c r="C15" s="23"/>
      <c r="D15" s="23"/>
      <c r="E15" s="16">
        <f>706245+4500+19700</f>
        <v>730445</v>
      </c>
      <c r="F15" s="19">
        <f>E15-(E15/1.12)</f>
        <v>78261.96428571432</v>
      </c>
      <c r="G15" s="19">
        <f>J15*132</f>
        <v>0</v>
      </c>
      <c r="H15" s="6">
        <f>E15/12</f>
        <v>60870.416666666664</v>
      </c>
      <c r="I15" s="6"/>
      <c r="J15" s="6">
        <v>0</v>
      </c>
      <c r="K15" s="19">
        <f>J15*146</f>
        <v>0</v>
      </c>
      <c r="L15" s="24">
        <f>(E15-K15)/12</f>
        <v>60870.416666666664</v>
      </c>
      <c r="M15" s="25">
        <f>E15/1752</f>
        <v>416.92066210045664</v>
      </c>
      <c r="N15" s="25">
        <f>M15*1.65</f>
        <v>687.9190924657535</v>
      </c>
      <c r="O15" s="25">
        <f t="shared" si="7"/>
        <v>310.49692307692305</v>
      </c>
    </row>
    <row r="16" spans="1:15" ht="10.5" customHeight="1">
      <c r="A16" s="4"/>
      <c r="B16" s="23"/>
      <c r="C16" s="23"/>
      <c r="D16" s="23"/>
      <c r="E16" s="20"/>
      <c r="F16" s="16"/>
      <c r="G16" s="16"/>
      <c r="H16" s="27"/>
      <c r="I16" s="28"/>
      <c r="J16" s="6"/>
      <c r="K16" s="19"/>
      <c r="L16" s="24"/>
      <c r="M16" s="25"/>
      <c r="N16" s="25"/>
      <c r="O16" s="25"/>
    </row>
    <row r="17" spans="1:19" ht="10.5" customHeight="1">
      <c r="A17" s="4" t="s">
        <v>36</v>
      </c>
      <c r="B17" s="38" t="s">
        <v>37</v>
      </c>
      <c r="C17" s="23" t="s">
        <v>20</v>
      </c>
      <c r="D17" s="23" t="s">
        <v>48</v>
      </c>
      <c r="E17" s="16">
        <f>634972+5160+3100+9100+7166+4500+19700</f>
        <v>683698</v>
      </c>
      <c r="F17" s="19">
        <f aca="true" t="shared" si="8" ref="F17:F26">E17-(E17/1.12)</f>
        <v>73253.35714285716</v>
      </c>
      <c r="G17" s="19">
        <f aca="true" t="shared" si="9" ref="G17:G25">J17*132</f>
        <v>0</v>
      </c>
      <c r="H17" s="6">
        <f aca="true" t="shared" si="10" ref="H17:H26">E17/12</f>
        <v>56974.833333333336</v>
      </c>
      <c r="I17" s="28"/>
      <c r="J17" s="6">
        <v>0</v>
      </c>
      <c r="K17" s="28">
        <f aca="true" t="shared" si="11" ref="K17:K27">892+14+9</f>
        <v>915</v>
      </c>
      <c r="L17" s="19">
        <f aca="true" t="shared" si="12" ref="L17:L24">J17*146</f>
        <v>0</v>
      </c>
      <c r="M17" s="25">
        <f aca="true" t="shared" si="13" ref="M17:M26">E17/1752</f>
        <v>390.23858447488584</v>
      </c>
      <c r="N17" s="25">
        <f aca="true" t="shared" si="14" ref="N17:N26">M17*1.65</f>
        <v>643.8936643835616</v>
      </c>
      <c r="O17" s="25">
        <f t="shared" si="7"/>
        <v>286.5241025641026</v>
      </c>
      <c r="P17" s="25"/>
      <c r="Q17" s="30"/>
      <c r="R17" s="30"/>
      <c r="S17" s="30"/>
    </row>
    <row r="18" spans="1:19" ht="10.5" customHeight="1">
      <c r="A18" s="4" t="s">
        <v>38</v>
      </c>
      <c r="B18" s="23"/>
      <c r="C18" s="23" t="s">
        <v>47</v>
      </c>
      <c r="D18" s="23"/>
      <c r="E18" s="16">
        <f>647895+5160+3100+9100+7166+4500+19700</f>
        <v>696621</v>
      </c>
      <c r="F18" s="19">
        <f t="shared" si="8"/>
        <v>74637.96428571432</v>
      </c>
      <c r="G18" s="19">
        <f t="shared" si="9"/>
        <v>0</v>
      </c>
      <c r="H18" s="6">
        <f t="shared" si="10"/>
        <v>58051.75</v>
      </c>
      <c r="I18" s="28"/>
      <c r="J18" s="6">
        <v>0</v>
      </c>
      <c r="K18" s="28">
        <f t="shared" si="11"/>
        <v>915</v>
      </c>
      <c r="L18" s="19">
        <f t="shared" si="12"/>
        <v>0</v>
      </c>
      <c r="M18" s="25">
        <f t="shared" si="13"/>
        <v>397.61472602739724</v>
      </c>
      <c r="N18" s="25">
        <f t="shared" si="14"/>
        <v>656.0642979452055</v>
      </c>
      <c r="O18" s="25">
        <f t="shared" si="7"/>
        <v>293.15128205128207</v>
      </c>
      <c r="P18" s="25"/>
      <c r="Q18" s="30"/>
      <c r="R18" s="30"/>
      <c r="S18" s="30"/>
    </row>
    <row r="19" spans="1:19" ht="10.5" customHeight="1">
      <c r="A19" s="4" t="s">
        <v>39</v>
      </c>
      <c r="B19" s="23"/>
      <c r="C19" s="30"/>
      <c r="D19" s="26"/>
      <c r="E19" s="16">
        <f>664342+5160+3100+9100+7166+4500+19700</f>
        <v>713068</v>
      </c>
      <c r="F19" s="19">
        <f t="shared" si="8"/>
        <v>76400.14285714296</v>
      </c>
      <c r="G19" s="19">
        <f t="shared" si="9"/>
        <v>0</v>
      </c>
      <c r="H19" s="6">
        <f t="shared" si="10"/>
        <v>59422.333333333336</v>
      </c>
      <c r="I19" s="28"/>
      <c r="J19" s="6">
        <v>0</v>
      </c>
      <c r="K19" s="28">
        <f t="shared" si="11"/>
        <v>915</v>
      </c>
      <c r="L19" s="19">
        <f t="shared" si="12"/>
        <v>0</v>
      </c>
      <c r="M19" s="25">
        <f t="shared" si="13"/>
        <v>407.00228310502285</v>
      </c>
      <c r="N19" s="25">
        <f t="shared" si="14"/>
        <v>671.5537671232877</v>
      </c>
      <c r="O19" s="25">
        <f t="shared" si="7"/>
        <v>301.58564102564105</v>
      </c>
      <c r="P19" s="25"/>
      <c r="Q19" s="30"/>
      <c r="R19" s="30"/>
      <c r="S19" s="30"/>
    </row>
    <row r="20" spans="1:19" ht="10.5" customHeight="1">
      <c r="A20" s="4" t="s">
        <v>40</v>
      </c>
      <c r="B20" s="23"/>
      <c r="C20" s="30"/>
      <c r="D20" s="26"/>
      <c r="E20" s="16">
        <f>703562+19700</f>
        <v>723262</v>
      </c>
      <c r="F20" s="19">
        <f>E20-(E20/1.12)</f>
        <v>77492.35714285716</v>
      </c>
      <c r="G20" s="19">
        <f>J20*132</f>
        <v>0</v>
      </c>
      <c r="H20" s="6">
        <f>E20/12</f>
        <v>60271.833333333336</v>
      </c>
      <c r="I20" s="28"/>
      <c r="J20" s="6">
        <v>0</v>
      </c>
      <c r="K20" s="28">
        <f t="shared" si="11"/>
        <v>915</v>
      </c>
      <c r="L20" s="19">
        <f t="shared" si="12"/>
        <v>0</v>
      </c>
      <c r="M20" s="25">
        <f>E20/1752</f>
        <v>412.82077625570776</v>
      </c>
      <c r="N20" s="25">
        <f>M20*1.65</f>
        <v>681.1542808219177</v>
      </c>
      <c r="O20" s="25">
        <f t="shared" si="7"/>
        <v>306.81333333333333</v>
      </c>
      <c r="P20" s="25"/>
      <c r="Q20" s="30"/>
      <c r="R20" s="30"/>
      <c r="S20" s="30"/>
    </row>
    <row r="21" spans="1:19" ht="10.5" customHeight="1">
      <c r="A21" s="4" t="s">
        <v>41</v>
      </c>
      <c r="B21" s="23"/>
      <c r="C21" s="30"/>
      <c r="D21" s="26"/>
      <c r="E21" s="16">
        <f>708562+19700</f>
        <v>728262</v>
      </c>
      <c r="F21" s="19">
        <f>E21-(E21/1.12)</f>
        <v>78028.07142857148</v>
      </c>
      <c r="G21" s="19">
        <f>J21*132</f>
        <v>0</v>
      </c>
      <c r="H21" s="6">
        <f>E21/12</f>
        <v>60688.5</v>
      </c>
      <c r="I21" s="28"/>
      <c r="J21" s="6">
        <v>0</v>
      </c>
      <c r="K21" s="28">
        <f t="shared" si="11"/>
        <v>915</v>
      </c>
      <c r="L21" s="19">
        <f t="shared" si="12"/>
        <v>0</v>
      </c>
      <c r="M21" s="25">
        <f>E21/1752</f>
        <v>415.6746575342466</v>
      </c>
      <c r="N21" s="25">
        <f>M21*1.65</f>
        <v>685.8631849315068</v>
      </c>
      <c r="O21" s="25">
        <f t="shared" si="7"/>
        <v>309.3774358974359</v>
      </c>
      <c r="P21" s="25"/>
      <c r="Q21" s="30"/>
      <c r="R21" s="30"/>
      <c r="S21" s="30"/>
    </row>
    <row r="22" spans="1:19" ht="10.5" customHeight="1">
      <c r="A22" s="4" t="s">
        <v>42</v>
      </c>
      <c r="B22" s="23"/>
      <c r="C22" s="30"/>
      <c r="D22" s="26"/>
      <c r="E22" s="16">
        <f>713562+19700</f>
        <v>733262</v>
      </c>
      <c r="F22" s="19">
        <f>E22-(E22/1.12)</f>
        <v>78563.7857142858</v>
      </c>
      <c r="G22" s="19">
        <f>J22*132</f>
        <v>0</v>
      </c>
      <c r="H22" s="6">
        <f>E22/12</f>
        <v>61105.166666666664</v>
      </c>
      <c r="I22" s="28"/>
      <c r="J22" s="6">
        <v>0</v>
      </c>
      <c r="K22" s="28">
        <f t="shared" si="11"/>
        <v>915</v>
      </c>
      <c r="L22" s="19">
        <f t="shared" si="12"/>
        <v>0</v>
      </c>
      <c r="M22" s="25">
        <f>E22/1752</f>
        <v>418.52853881278537</v>
      </c>
      <c r="N22" s="25">
        <f>M22*1.65</f>
        <v>690.5720890410959</v>
      </c>
      <c r="O22" s="25">
        <f t="shared" si="7"/>
        <v>311.94153846153847</v>
      </c>
      <c r="P22" s="25"/>
      <c r="Q22" s="30"/>
      <c r="R22" s="30"/>
      <c r="S22" s="30"/>
    </row>
    <row r="23" spans="1:19" ht="10.5" customHeight="1">
      <c r="A23" s="4" t="s">
        <v>43</v>
      </c>
      <c r="B23" s="23"/>
      <c r="C23" s="30"/>
      <c r="D23" s="26"/>
      <c r="E23" s="16">
        <f>718562+19700</f>
        <v>738262</v>
      </c>
      <c r="F23" s="19">
        <f>E23-(E23/1.12)</f>
        <v>79099.50000000012</v>
      </c>
      <c r="G23" s="19">
        <f>J23*132</f>
        <v>0</v>
      </c>
      <c r="H23" s="6">
        <f>E23/12</f>
        <v>61521.833333333336</v>
      </c>
      <c r="I23" s="28"/>
      <c r="J23" s="6">
        <v>0</v>
      </c>
      <c r="K23" s="28">
        <f t="shared" si="11"/>
        <v>915</v>
      </c>
      <c r="L23" s="19">
        <f t="shared" si="12"/>
        <v>0</v>
      </c>
      <c r="M23" s="25">
        <f>E23/1752</f>
        <v>421.3824200913242</v>
      </c>
      <c r="N23" s="25">
        <f>M23*1.65</f>
        <v>695.2809931506849</v>
      </c>
      <c r="O23" s="25">
        <f t="shared" si="7"/>
        <v>314.505641025641</v>
      </c>
      <c r="P23" s="25"/>
      <c r="Q23" s="30"/>
      <c r="R23" s="30"/>
      <c r="S23" s="30"/>
    </row>
    <row r="24" spans="1:19" ht="10.5" customHeight="1">
      <c r="A24" s="4" t="s">
        <v>44</v>
      </c>
      <c r="B24" s="23"/>
      <c r="C24" s="30"/>
      <c r="D24" s="26"/>
      <c r="E24" s="16">
        <f>723562+19700</f>
        <v>743262</v>
      </c>
      <c r="F24" s="19">
        <f t="shared" si="8"/>
        <v>79635.21428571432</v>
      </c>
      <c r="G24" s="19">
        <f t="shared" si="9"/>
        <v>0</v>
      </c>
      <c r="H24" s="6">
        <f t="shared" si="10"/>
        <v>61938.5</v>
      </c>
      <c r="I24" s="28"/>
      <c r="J24" s="6">
        <v>0</v>
      </c>
      <c r="K24" s="28">
        <f t="shared" si="11"/>
        <v>915</v>
      </c>
      <c r="L24" s="19">
        <f t="shared" si="12"/>
        <v>0</v>
      </c>
      <c r="M24" s="25">
        <f t="shared" si="13"/>
        <v>424.236301369863</v>
      </c>
      <c r="N24" s="25">
        <f t="shared" si="14"/>
        <v>699.9898972602739</v>
      </c>
      <c r="O24" s="25">
        <f t="shared" si="7"/>
        <v>317.0697435897436</v>
      </c>
      <c r="P24" s="25"/>
      <c r="Q24" s="30"/>
      <c r="R24" s="30"/>
      <c r="S24" s="30"/>
    </row>
    <row r="25" spans="1:19" ht="10.5" customHeight="1">
      <c r="A25" s="4" t="s">
        <v>45</v>
      </c>
      <c r="B25" s="23"/>
      <c r="C25" s="30"/>
      <c r="D25" s="26"/>
      <c r="E25" s="16">
        <f>728562+19700</f>
        <v>748262</v>
      </c>
      <c r="F25" s="19">
        <f t="shared" si="8"/>
        <v>80170.92857142864</v>
      </c>
      <c r="G25" s="19">
        <f t="shared" si="9"/>
        <v>0</v>
      </c>
      <c r="H25" s="6">
        <f t="shared" si="10"/>
        <v>62355.166666666664</v>
      </c>
      <c r="I25" s="28"/>
      <c r="J25" s="6">
        <v>0</v>
      </c>
      <c r="K25" s="28">
        <f t="shared" si="11"/>
        <v>915</v>
      </c>
      <c r="L25" s="19"/>
      <c r="M25" s="25">
        <f t="shared" si="13"/>
        <v>427.0901826484018</v>
      </c>
      <c r="N25" s="25">
        <f t="shared" si="14"/>
        <v>704.698801369863</v>
      </c>
      <c r="O25" s="25">
        <f t="shared" si="7"/>
        <v>319.63384615384615</v>
      </c>
      <c r="P25" s="25"/>
      <c r="Q25" s="30"/>
      <c r="R25" s="30"/>
      <c r="S25" s="30"/>
    </row>
    <row r="26" spans="1:19" ht="10.5" customHeight="1">
      <c r="A26" s="4" t="s">
        <v>46</v>
      </c>
      <c r="B26" s="23"/>
      <c r="C26" s="30"/>
      <c r="D26" s="26"/>
      <c r="E26" s="16">
        <f>733562+19700</f>
        <v>753262</v>
      </c>
      <c r="F26" s="19">
        <f t="shared" si="8"/>
        <v>80706.64285714296</v>
      </c>
      <c r="G26" s="19">
        <f>J26*132</f>
        <v>0</v>
      </c>
      <c r="H26" s="6">
        <f t="shared" si="10"/>
        <v>62771.833333333336</v>
      </c>
      <c r="I26" s="28"/>
      <c r="J26" s="6">
        <v>0</v>
      </c>
      <c r="K26" s="28">
        <f t="shared" si="11"/>
        <v>915</v>
      </c>
      <c r="L26" s="19"/>
      <c r="M26" s="25">
        <f t="shared" si="13"/>
        <v>429.94406392694066</v>
      </c>
      <c r="N26" s="25">
        <f t="shared" si="14"/>
        <v>709.407705479452</v>
      </c>
      <c r="O26" s="25">
        <f t="shared" si="7"/>
        <v>322.1979487179487</v>
      </c>
      <c r="P26" s="25"/>
      <c r="Q26" s="30"/>
      <c r="R26" s="30"/>
      <c r="S26" s="30"/>
    </row>
    <row r="27" spans="1:19" ht="10.5" customHeight="1">
      <c r="A27" s="4" t="s">
        <v>64</v>
      </c>
      <c r="B27" s="23"/>
      <c r="C27" s="30"/>
      <c r="D27" s="26"/>
      <c r="E27" s="16">
        <f>738562+19700</f>
        <v>758262</v>
      </c>
      <c r="F27" s="19">
        <f>E27-(E27/1.12)</f>
        <v>81242.35714285716</v>
      </c>
      <c r="G27" s="19">
        <f>J27*132</f>
        <v>0</v>
      </c>
      <c r="H27" s="6">
        <f>E27/12</f>
        <v>63188.5</v>
      </c>
      <c r="I27" s="28"/>
      <c r="J27" s="6">
        <v>0</v>
      </c>
      <c r="K27" s="28">
        <f t="shared" si="11"/>
        <v>915</v>
      </c>
      <c r="L27" s="19"/>
      <c r="M27" s="25">
        <f>E27/1752</f>
        <v>432.79794520547944</v>
      </c>
      <c r="N27" s="25">
        <f>M27*1.65</f>
        <v>714.116609589041</v>
      </c>
      <c r="O27" s="25">
        <f t="shared" si="7"/>
        <v>324.7620512820513</v>
      </c>
      <c r="P27" s="25"/>
      <c r="Q27" s="30"/>
      <c r="R27" s="30"/>
      <c r="S27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E4" sqref="E4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66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2</v>
      </c>
      <c r="B4" s="23" t="s">
        <v>23</v>
      </c>
      <c r="C4" s="23" t="s">
        <v>20</v>
      </c>
      <c r="D4" s="23" t="s">
        <v>22</v>
      </c>
      <c r="E4" s="16">
        <f>611448+5160+3100+9100+7166+4500+19700</f>
        <v>660174</v>
      </c>
      <c r="F4" s="19">
        <f aca="true" t="shared" si="0" ref="F4:F9">E4-(E4/1.12)</f>
        <v>70732.92857142864</v>
      </c>
      <c r="G4" s="19">
        <f aca="true" t="shared" si="1" ref="G4:G9">J4*132</f>
        <v>0</v>
      </c>
      <c r="H4" s="6">
        <f aca="true" t="shared" si="2" ref="H4:H9">E4/12</f>
        <v>55014.5</v>
      </c>
      <c r="I4" s="6"/>
      <c r="J4" s="6">
        <v>0</v>
      </c>
      <c r="K4" s="19">
        <f aca="true" t="shared" si="3" ref="K4:K9">J4*146</f>
        <v>0</v>
      </c>
      <c r="L4" s="24">
        <f aca="true" t="shared" si="4" ref="L4:L9">(E4-K4)/12</f>
        <v>55014.5</v>
      </c>
      <c r="M4" s="25">
        <f aca="true" t="shared" si="5" ref="M4:M9">E4/1752</f>
        <v>376.81164383561645</v>
      </c>
      <c r="N4" s="25">
        <f aca="true" t="shared" si="6" ref="N4:N9">M4*1.65</f>
        <v>621.7392123287672</v>
      </c>
      <c r="O4" s="25">
        <f aca="true" t="shared" si="7" ref="O4:O25">(E4-(856*146))/1950</f>
        <v>274.4605128205128</v>
      </c>
    </row>
    <row r="5" spans="1:15" ht="10.5" customHeight="1">
      <c r="A5" s="4" t="s">
        <v>12</v>
      </c>
      <c r="B5" s="23"/>
      <c r="C5" s="23" t="s">
        <v>21</v>
      </c>
      <c r="D5" s="23"/>
      <c r="E5" s="16">
        <f>623965+5160+3100+9100+7166+4500+19700</f>
        <v>672691</v>
      </c>
      <c r="F5" s="19">
        <f t="shared" si="0"/>
        <v>72074.0357142858</v>
      </c>
      <c r="G5" s="19">
        <f t="shared" si="1"/>
        <v>0</v>
      </c>
      <c r="H5" s="6">
        <f t="shared" si="2"/>
        <v>56057.583333333336</v>
      </c>
      <c r="I5" s="6"/>
      <c r="J5" s="6">
        <v>0</v>
      </c>
      <c r="K5" s="19">
        <f t="shared" si="3"/>
        <v>0</v>
      </c>
      <c r="L5" s="24">
        <f t="shared" si="4"/>
        <v>56057.583333333336</v>
      </c>
      <c r="M5" s="25">
        <f t="shared" si="5"/>
        <v>383.9560502283105</v>
      </c>
      <c r="N5" s="25">
        <f t="shared" si="6"/>
        <v>633.5274828767123</v>
      </c>
      <c r="O5" s="25">
        <f t="shared" si="7"/>
        <v>280.87948717948717</v>
      </c>
    </row>
    <row r="6" spans="1:15" ht="10.5" customHeight="1">
      <c r="A6" s="4" t="s">
        <v>13</v>
      </c>
      <c r="B6" s="23"/>
      <c r="C6" s="23"/>
      <c r="D6" s="23"/>
      <c r="E6" s="16">
        <f>640371+5160+3100+9100+7166+4500+19700</f>
        <v>689097</v>
      </c>
      <c r="F6" s="19">
        <f t="shared" si="0"/>
        <v>73831.82142857148</v>
      </c>
      <c r="G6" s="19">
        <f t="shared" si="1"/>
        <v>0</v>
      </c>
      <c r="H6" s="6">
        <f t="shared" si="2"/>
        <v>57424.75</v>
      </c>
      <c r="I6" s="6"/>
      <c r="J6" s="6">
        <v>0</v>
      </c>
      <c r="K6" s="19">
        <f t="shared" si="3"/>
        <v>0</v>
      </c>
      <c r="L6" s="24">
        <f t="shared" si="4"/>
        <v>57424.75</v>
      </c>
      <c r="M6" s="25">
        <f t="shared" si="5"/>
        <v>393.32020547945206</v>
      </c>
      <c r="N6" s="25">
        <f t="shared" si="6"/>
        <v>648.9783390410959</v>
      </c>
      <c r="O6" s="25">
        <f t="shared" si="7"/>
        <v>289.2928205128205</v>
      </c>
    </row>
    <row r="7" spans="1:15" ht="10.5" customHeight="1">
      <c r="A7" s="4" t="s">
        <v>3</v>
      </c>
      <c r="B7" s="23"/>
      <c r="C7" s="23"/>
      <c r="D7" s="23"/>
      <c r="E7" s="16">
        <f>675745+19700</f>
        <v>695445</v>
      </c>
      <c r="F7" s="19">
        <f>E7-(E7/1.12)</f>
        <v>74511.96428571432</v>
      </c>
      <c r="G7" s="19">
        <f>J7*132</f>
        <v>0</v>
      </c>
      <c r="H7" s="6">
        <f>E7/12</f>
        <v>57953.75</v>
      </c>
      <c r="I7" s="6"/>
      <c r="J7" s="6">
        <v>0</v>
      </c>
      <c r="K7" s="19">
        <f>J7*146</f>
        <v>0</v>
      </c>
      <c r="L7" s="24">
        <f>(E7-K7)/12</f>
        <v>57953.75</v>
      </c>
      <c r="M7" s="25">
        <f>E7/1752</f>
        <v>396.94349315068496</v>
      </c>
      <c r="N7" s="25">
        <f>M7*1.65</f>
        <v>654.9567636986302</v>
      </c>
      <c r="O7" s="25">
        <f t="shared" si="7"/>
        <v>292.54820512820515</v>
      </c>
    </row>
    <row r="8" spans="1:15" ht="10.5" customHeight="1">
      <c r="A8" s="4" t="s">
        <v>14</v>
      </c>
      <c r="B8" s="23" t="s">
        <v>29</v>
      </c>
      <c r="C8" s="23"/>
      <c r="D8" s="23"/>
      <c r="E8" s="16">
        <f>680745+19700</f>
        <v>700445</v>
      </c>
      <c r="F8" s="19">
        <f>E8-(E8/1.12)</f>
        <v>75047.67857142864</v>
      </c>
      <c r="G8" s="19">
        <f>J8*132</f>
        <v>0</v>
      </c>
      <c r="H8" s="6">
        <f>E8/12</f>
        <v>58370.416666666664</v>
      </c>
      <c r="I8" s="6"/>
      <c r="J8" s="6">
        <v>0</v>
      </c>
      <c r="K8" s="19">
        <f>J8*146</f>
        <v>0</v>
      </c>
      <c r="L8" s="24">
        <f>(E8-K8)/12</f>
        <v>58370.416666666664</v>
      </c>
      <c r="M8" s="25">
        <f>E8/1752</f>
        <v>399.79737442922374</v>
      </c>
      <c r="N8" s="25">
        <f>M8*1.65</f>
        <v>659.6656678082192</v>
      </c>
      <c r="O8" s="25">
        <f t="shared" si="7"/>
        <v>295.1123076923077</v>
      </c>
    </row>
    <row r="9" spans="1:15" ht="10.5" customHeight="1">
      <c r="A9" s="4" t="s">
        <v>15</v>
      </c>
      <c r="B9" s="23"/>
      <c r="C9" s="23"/>
      <c r="D9" s="23"/>
      <c r="E9" s="16">
        <f>685745+19700</f>
        <v>705445</v>
      </c>
      <c r="F9" s="19">
        <f t="shared" si="0"/>
        <v>75583.39285714296</v>
      </c>
      <c r="G9" s="19">
        <f t="shared" si="1"/>
        <v>0</v>
      </c>
      <c r="H9" s="6">
        <f t="shared" si="2"/>
        <v>58787.083333333336</v>
      </c>
      <c r="I9" s="6"/>
      <c r="J9" s="6">
        <v>0</v>
      </c>
      <c r="K9" s="19">
        <f t="shared" si="3"/>
        <v>0</v>
      </c>
      <c r="L9" s="24">
        <f t="shared" si="4"/>
        <v>58787.083333333336</v>
      </c>
      <c r="M9" s="25">
        <f t="shared" si="5"/>
        <v>402.6512557077626</v>
      </c>
      <c r="N9" s="25">
        <f t="shared" si="6"/>
        <v>664.3745719178082</v>
      </c>
      <c r="O9" s="25">
        <f t="shared" si="7"/>
        <v>297.67641025641024</v>
      </c>
    </row>
    <row r="10" spans="1:15" ht="10.5" customHeight="1">
      <c r="A10" s="4" t="s">
        <v>16</v>
      </c>
      <c r="B10" s="23"/>
      <c r="C10" s="23"/>
      <c r="D10" s="23"/>
      <c r="E10" s="16">
        <f>690745+19700</f>
        <v>710445</v>
      </c>
      <c r="F10" s="19">
        <f>E10-(E10/1.12)</f>
        <v>76119.10714285716</v>
      </c>
      <c r="G10" s="19">
        <f>J10*132</f>
        <v>0</v>
      </c>
      <c r="H10" s="6">
        <f>E10/12</f>
        <v>59203.75</v>
      </c>
      <c r="I10" s="6"/>
      <c r="J10" s="6">
        <v>0</v>
      </c>
      <c r="K10" s="19">
        <f>J10*146</f>
        <v>0</v>
      </c>
      <c r="L10" s="24">
        <f>(E10-K10)/12</f>
        <v>59203.75</v>
      </c>
      <c r="M10" s="25">
        <f>E10/1752</f>
        <v>405.50513698630135</v>
      </c>
      <c r="N10" s="25">
        <f>M10*1.65</f>
        <v>669.0834760273972</v>
      </c>
      <c r="O10" s="25">
        <f t="shared" si="7"/>
        <v>300.24051282051283</v>
      </c>
    </row>
    <row r="11" spans="1:15" ht="10.5" customHeight="1">
      <c r="A11" s="4" t="s">
        <v>30</v>
      </c>
      <c r="B11" s="23"/>
      <c r="C11" s="23"/>
      <c r="D11" s="23"/>
      <c r="E11" s="16">
        <f>695745+19700</f>
        <v>715445</v>
      </c>
      <c r="F11" s="19">
        <f>E11-(E11/1.12)</f>
        <v>76654.82142857148</v>
      </c>
      <c r="G11" s="19">
        <f>J11*132</f>
        <v>0</v>
      </c>
      <c r="H11" s="6">
        <f>E11/12</f>
        <v>59620.416666666664</v>
      </c>
      <c r="I11" s="6"/>
      <c r="J11" s="6">
        <v>0</v>
      </c>
      <c r="K11" s="19">
        <f>J11*146</f>
        <v>0</v>
      </c>
      <c r="L11" s="24">
        <f>(E11-K11)/12</f>
        <v>59620.416666666664</v>
      </c>
      <c r="M11" s="25">
        <f>E11/1752</f>
        <v>408.3590182648402</v>
      </c>
      <c r="N11" s="25">
        <f>M11*1.65</f>
        <v>673.7923801369863</v>
      </c>
      <c r="O11" s="25">
        <f t="shared" si="7"/>
        <v>302.8046153846154</v>
      </c>
    </row>
    <row r="12" spans="1:15" ht="10.5" customHeight="1">
      <c r="A12" s="4" t="s">
        <v>35</v>
      </c>
      <c r="B12" s="23"/>
      <c r="C12" s="23"/>
      <c r="D12" s="23"/>
      <c r="E12" s="16">
        <f>700745+19700</f>
        <v>720445</v>
      </c>
      <c r="F12" s="19">
        <f>E12-(E12/1.12)</f>
        <v>77190.5357142858</v>
      </c>
      <c r="G12" s="19">
        <f>J12*132</f>
        <v>0</v>
      </c>
      <c r="H12" s="6">
        <f>E12/12</f>
        <v>60037.083333333336</v>
      </c>
      <c r="I12" s="6"/>
      <c r="J12" s="6">
        <v>0</v>
      </c>
      <c r="K12" s="19">
        <f>J12*146</f>
        <v>0</v>
      </c>
      <c r="L12" s="24">
        <f>(E12-K12)/12</f>
        <v>60037.083333333336</v>
      </c>
      <c r="M12" s="25">
        <f>E12/1752</f>
        <v>411.212899543379</v>
      </c>
      <c r="N12" s="25">
        <f>M12*1.65</f>
        <v>678.5012842465753</v>
      </c>
      <c r="O12" s="25">
        <f t="shared" si="7"/>
        <v>305.368717948718</v>
      </c>
    </row>
    <row r="13" spans="1:15" ht="10.5" customHeight="1">
      <c r="A13" s="4" t="s">
        <v>60</v>
      </c>
      <c r="B13" s="23"/>
      <c r="C13" s="23"/>
      <c r="D13" s="23"/>
      <c r="E13" s="16">
        <f>705745+19700</f>
        <v>725445</v>
      </c>
      <c r="F13" s="19">
        <f>E13-(E13/1.12)</f>
        <v>77726.25000000012</v>
      </c>
      <c r="G13" s="19">
        <f>J13*132</f>
        <v>0</v>
      </c>
      <c r="H13" s="6">
        <f>E13/12</f>
        <v>60453.75</v>
      </c>
      <c r="I13" s="6"/>
      <c r="J13" s="6">
        <v>0</v>
      </c>
      <c r="K13" s="19">
        <f>J13*146</f>
        <v>0</v>
      </c>
      <c r="L13" s="24">
        <f>(E13-K13)/12</f>
        <v>60453.75</v>
      </c>
      <c r="M13" s="25">
        <f>E13/1752</f>
        <v>414.0667808219178</v>
      </c>
      <c r="N13" s="25">
        <f>M13*1.65</f>
        <v>683.2101883561644</v>
      </c>
      <c r="O13" s="25">
        <f t="shared" si="7"/>
        <v>307.9328205128205</v>
      </c>
    </row>
    <row r="14" spans="1:15" ht="10.5" customHeight="1">
      <c r="A14" s="4" t="s">
        <v>63</v>
      </c>
      <c r="B14" s="23"/>
      <c r="C14" s="23"/>
      <c r="D14" s="23"/>
      <c r="E14" s="16">
        <f>706245+4500+19700</f>
        <v>730445</v>
      </c>
      <c r="F14" s="19">
        <f>E14-(E14/1.12)</f>
        <v>78261.96428571432</v>
      </c>
      <c r="G14" s="19">
        <f>J14*132</f>
        <v>0</v>
      </c>
      <c r="H14" s="6">
        <f>E14/12</f>
        <v>60870.416666666664</v>
      </c>
      <c r="I14" s="6"/>
      <c r="J14" s="6">
        <v>0</v>
      </c>
      <c r="K14" s="19">
        <f>J14*146</f>
        <v>0</v>
      </c>
      <c r="L14" s="24">
        <f>(E14-K14)/12</f>
        <v>60870.416666666664</v>
      </c>
      <c r="M14" s="25">
        <f>E14/1752</f>
        <v>416.92066210045664</v>
      </c>
      <c r="N14" s="25">
        <f>M14*1.65</f>
        <v>687.9190924657535</v>
      </c>
      <c r="O14" s="25">
        <f t="shared" si="7"/>
        <v>310.49692307692305</v>
      </c>
    </row>
    <row r="15" spans="1:15" ht="10.5" customHeight="1">
      <c r="A15" s="4"/>
      <c r="B15" s="23"/>
      <c r="C15" s="23"/>
      <c r="D15" s="23"/>
      <c r="E15" s="20"/>
      <c r="F15" s="16"/>
      <c r="G15" s="16"/>
      <c r="H15" s="27"/>
      <c r="I15" s="28"/>
      <c r="J15" s="6"/>
      <c r="K15" s="19"/>
      <c r="L15" s="24"/>
      <c r="M15" s="25"/>
      <c r="N15" s="25"/>
      <c r="O15" s="25"/>
    </row>
    <row r="16" spans="1:19" ht="10.5" customHeight="1">
      <c r="A16" s="4" t="s">
        <v>38</v>
      </c>
      <c r="B16" s="38" t="s">
        <v>37</v>
      </c>
      <c r="C16" s="23" t="s">
        <v>20</v>
      </c>
      <c r="D16" s="23" t="s">
        <v>48</v>
      </c>
      <c r="E16" s="16">
        <f>647895+5160+3100+9100+7166+4500+19700</f>
        <v>696621</v>
      </c>
      <c r="F16" s="19">
        <f aca="true" t="shared" si="8" ref="F16:F24">E16-(E16/1.12)</f>
        <v>74637.96428571432</v>
      </c>
      <c r="G16" s="19">
        <f aca="true" t="shared" si="9" ref="G16:G23">J16*132</f>
        <v>0</v>
      </c>
      <c r="H16" s="6">
        <f aca="true" t="shared" si="10" ref="H16:H24">E16/12</f>
        <v>58051.75</v>
      </c>
      <c r="I16" s="28"/>
      <c r="J16" s="6">
        <v>0</v>
      </c>
      <c r="K16" s="28">
        <f aca="true" t="shared" si="11" ref="K16:K25">892+14+9</f>
        <v>915</v>
      </c>
      <c r="L16" s="19">
        <f aca="true" t="shared" si="12" ref="L16:L22">J16*146</f>
        <v>0</v>
      </c>
      <c r="M16" s="25">
        <f aca="true" t="shared" si="13" ref="M16:M24">E16/1752</f>
        <v>397.61472602739724</v>
      </c>
      <c r="N16" s="25">
        <f aca="true" t="shared" si="14" ref="N16:N24">M16*1.65</f>
        <v>656.0642979452055</v>
      </c>
      <c r="O16" s="25">
        <f t="shared" si="7"/>
        <v>293.15128205128207</v>
      </c>
      <c r="P16" s="25"/>
      <c r="Q16" s="30"/>
      <c r="R16" s="30"/>
      <c r="S16" s="30"/>
    </row>
    <row r="17" spans="1:19" ht="10.5" customHeight="1">
      <c r="A17" s="4" t="s">
        <v>39</v>
      </c>
      <c r="B17" s="23"/>
      <c r="C17" s="23" t="s">
        <v>47</v>
      </c>
      <c r="D17" s="23"/>
      <c r="E17" s="16">
        <f>664342+5160+3100+9100+7166+4500+19700</f>
        <v>713068</v>
      </c>
      <c r="F17" s="19">
        <f t="shared" si="8"/>
        <v>76400.14285714296</v>
      </c>
      <c r="G17" s="19">
        <f t="shared" si="9"/>
        <v>0</v>
      </c>
      <c r="H17" s="6">
        <f t="shared" si="10"/>
        <v>59422.333333333336</v>
      </c>
      <c r="I17" s="28"/>
      <c r="J17" s="6">
        <v>0</v>
      </c>
      <c r="K17" s="28">
        <f t="shared" si="11"/>
        <v>915</v>
      </c>
      <c r="L17" s="19">
        <f t="shared" si="12"/>
        <v>0</v>
      </c>
      <c r="M17" s="25">
        <f t="shared" si="13"/>
        <v>407.00228310502285</v>
      </c>
      <c r="N17" s="25">
        <f t="shared" si="14"/>
        <v>671.5537671232877</v>
      </c>
      <c r="O17" s="25">
        <f t="shared" si="7"/>
        <v>301.58564102564105</v>
      </c>
      <c r="P17" s="25"/>
      <c r="Q17" s="30"/>
      <c r="R17" s="30"/>
      <c r="S17" s="30"/>
    </row>
    <row r="18" spans="1:19" ht="10.5" customHeight="1">
      <c r="A18" s="4" t="s">
        <v>40</v>
      </c>
      <c r="B18" s="23"/>
      <c r="C18" s="30"/>
      <c r="D18" s="26"/>
      <c r="E18" s="16">
        <f>703562+19700</f>
        <v>723262</v>
      </c>
      <c r="F18" s="19">
        <f>E18-(E18/1.12)</f>
        <v>77492.35714285716</v>
      </c>
      <c r="G18" s="19">
        <f>J18*132</f>
        <v>0</v>
      </c>
      <c r="H18" s="6">
        <f>E18/12</f>
        <v>60271.833333333336</v>
      </c>
      <c r="I18" s="28"/>
      <c r="J18" s="6">
        <v>0</v>
      </c>
      <c r="K18" s="28">
        <f t="shared" si="11"/>
        <v>915</v>
      </c>
      <c r="L18" s="19">
        <f t="shared" si="12"/>
        <v>0</v>
      </c>
      <c r="M18" s="25">
        <f>E18/1752</f>
        <v>412.82077625570776</v>
      </c>
      <c r="N18" s="25">
        <f>M18*1.65</f>
        <v>681.1542808219177</v>
      </c>
      <c r="O18" s="25">
        <f t="shared" si="7"/>
        <v>306.81333333333333</v>
      </c>
      <c r="P18" s="25"/>
      <c r="Q18" s="30"/>
      <c r="R18" s="30"/>
      <c r="S18" s="30"/>
    </row>
    <row r="19" spans="1:19" ht="10.5" customHeight="1">
      <c r="A19" s="4" t="s">
        <v>41</v>
      </c>
      <c r="B19" s="23"/>
      <c r="C19" s="30"/>
      <c r="D19" s="26"/>
      <c r="E19" s="16">
        <f>708562+19700</f>
        <v>728262</v>
      </c>
      <c r="F19" s="19">
        <f>E19-(E19/1.12)</f>
        <v>78028.07142857148</v>
      </c>
      <c r="G19" s="19">
        <f>J19*132</f>
        <v>0</v>
      </c>
      <c r="H19" s="6">
        <f>E19/12</f>
        <v>60688.5</v>
      </c>
      <c r="I19" s="28"/>
      <c r="J19" s="6">
        <v>0</v>
      </c>
      <c r="K19" s="28">
        <f t="shared" si="11"/>
        <v>915</v>
      </c>
      <c r="L19" s="19">
        <f t="shared" si="12"/>
        <v>0</v>
      </c>
      <c r="M19" s="25">
        <f>E19/1752</f>
        <v>415.6746575342466</v>
      </c>
      <c r="N19" s="25">
        <f>M19*1.65</f>
        <v>685.8631849315068</v>
      </c>
      <c r="O19" s="25">
        <f t="shared" si="7"/>
        <v>309.3774358974359</v>
      </c>
      <c r="P19" s="25"/>
      <c r="Q19" s="30"/>
      <c r="R19" s="30"/>
      <c r="S19" s="30"/>
    </row>
    <row r="20" spans="1:19" ht="10.5" customHeight="1">
      <c r="A20" s="4" t="s">
        <v>42</v>
      </c>
      <c r="B20" s="23"/>
      <c r="C20" s="30"/>
      <c r="D20" s="26"/>
      <c r="E20" s="16">
        <f>713562+19700</f>
        <v>733262</v>
      </c>
      <c r="F20" s="19">
        <f>E20-(E20/1.12)</f>
        <v>78563.7857142858</v>
      </c>
      <c r="G20" s="19">
        <f>J20*132</f>
        <v>0</v>
      </c>
      <c r="H20" s="6">
        <f>E20/12</f>
        <v>61105.166666666664</v>
      </c>
      <c r="I20" s="28"/>
      <c r="J20" s="6">
        <v>0</v>
      </c>
      <c r="K20" s="28">
        <f t="shared" si="11"/>
        <v>915</v>
      </c>
      <c r="L20" s="19">
        <f t="shared" si="12"/>
        <v>0</v>
      </c>
      <c r="M20" s="25">
        <f>E20/1752</f>
        <v>418.52853881278537</v>
      </c>
      <c r="N20" s="25">
        <f>M20*1.65</f>
        <v>690.5720890410959</v>
      </c>
      <c r="O20" s="25">
        <f t="shared" si="7"/>
        <v>311.94153846153847</v>
      </c>
      <c r="P20" s="25"/>
      <c r="Q20" s="30"/>
      <c r="R20" s="30"/>
      <c r="S20" s="30"/>
    </row>
    <row r="21" spans="1:19" ht="10.5" customHeight="1">
      <c r="A21" s="4" t="s">
        <v>43</v>
      </c>
      <c r="B21" s="23"/>
      <c r="C21" s="30"/>
      <c r="D21" s="26"/>
      <c r="E21" s="16">
        <f>718562+19700</f>
        <v>738262</v>
      </c>
      <c r="F21" s="19">
        <f>E21-(E21/1.12)</f>
        <v>79099.50000000012</v>
      </c>
      <c r="G21" s="19">
        <f>J21*132</f>
        <v>0</v>
      </c>
      <c r="H21" s="6">
        <f>E21/12</f>
        <v>61521.833333333336</v>
      </c>
      <c r="I21" s="28"/>
      <c r="J21" s="6">
        <v>0</v>
      </c>
      <c r="K21" s="28">
        <f t="shared" si="11"/>
        <v>915</v>
      </c>
      <c r="L21" s="19">
        <f t="shared" si="12"/>
        <v>0</v>
      </c>
      <c r="M21" s="25">
        <f>E21/1752</f>
        <v>421.3824200913242</v>
      </c>
      <c r="N21" s="25">
        <f>M21*1.65</f>
        <v>695.2809931506849</v>
      </c>
      <c r="O21" s="25">
        <f t="shared" si="7"/>
        <v>314.505641025641</v>
      </c>
      <c r="P21" s="25"/>
      <c r="Q21" s="30"/>
      <c r="R21" s="30"/>
      <c r="S21" s="30"/>
    </row>
    <row r="22" spans="1:19" ht="10.5" customHeight="1">
      <c r="A22" s="4" t="s">
        <v>44</v>
      </c>
      <c r="B22" s="23"/>
      <c r="C22" s="30"/>
      <c r="D22" s="26"/>
      <c r="E22" s="16">
        <f>723562+19700</f>
        <v>743262</v>
      </c>
      <c r="F22" s="19">
        <f t="shared" si="8"/>
        <v>79635.21428571432</v>
      </c>
      <c r="G22" s="19">
        <f t="shared" si="9"/>
        <v>0</v>
      </c>
      <c r="H22" s="6">
        <f t="shared" si="10"/>
        <v>61938.5</v>
      </c>
      <c r="I22" s="28"/>
      <c r="J22" s="6">
        <v>0</v>
      </c>
      <c r="K22" s="28">
        <f t="shared" si="11"/>
        <v>915</v>
      </c>
      <c r="L22" s="19">
        <f t="shared" si="12"/>
        <v>0</v>
      </c>
      <c r="M22" s="25">
        <f t="shared" si="13"/>
        <v>424.236301369863</v>
      </c>
      <c r="N22" s="25">
        <f t="shared" si="14"/>
        <v>699.9898972602739</v>
      </c>
      <c r="O22" s="25">
        <f t="shared" si="7"/>
        <v>317.0697435897436</v>
      </c>
      <c r="P22" s="25"/>
      <c r="Q22" s="30"/>
      <c r="R22" s="30"/>
      <c r="S22" s="30"/>
    </row>
    <row r="23" spans="1:19" ht="10.5" customHeight="1">
      <c r="A23" s="4" t="s">
        <v>45</v>
      </c>
      <c r="B23" s="23"/>
      <c r="C23" s="30"/>
      <c r="D23" s="26"/>
      <c r="E23" s="16">
        <f>728562+19700</f>
        <v>748262</v>
      </c>
      <c r="F23" s="19">
        <f t="shared" si="8"/>
        <v>80170.92857142864</v>
      </c>
      <c r="G23" s="19">
        <f t="shared" si="9"/>
        <v>0</v>
      </c>
      <c r="H23" s="6">
        <f t="shared" si="10"/>
        <v>62355.166666666664</v>
      </c>
      <c r="I23" s="28"/>
      <c r="J23" s="6">
        <v>0</v>
      </c>
      <c r="K23" s="28">
        <f t="shared" si="11"/>
        <v>915</v>
      </c>
      <c r="L23" s="19"/>
      <c r="M23" s="25">
        <f t="shared" si="13"/>
        <v>427.0901826484018</v>
      </c>
      <c r="N23" s="25">
        <f t="shared" si="14"/>
        <v>704.698801369863</v>
      </c>
      <c r="O23" s="25">
        <f t="shared" si="7"/>
        <v>319.63384615384615</v>
      </c>
      <c r="P23" s="25"/>
      <c r="Q23" s="30"/>
      <c r="R23" s="30"/>
      <c r="S23" s="30"/>
    </row>
    <row r="24" spans="1:19" ht="10.5" customHeight="1">
      <c r="A24" s="4" t="s">
        <v>46</v>
      </c>
      <c r="B24" s="23"/>
      <c r="C24" s="30"/>
      <c r="D24" s="26"/>
      <c r="E24" s="16">
        <f>733562+19700</f>
        <v>753262</v>
      </c>
      <c r="F24" s="19">
        <f t="shared" si="8"/>
        <v>80706.64285714296</v>
      </c>
      <c r="G24" s="19">
        <f>J24*132</f>
        <v>0</v>
      </c>
      <c r="H24" s="6">
        <f t="shared" si="10"/>
        <v>62771.833333333336</v>
      </c>
      <c r="I24" s="28"/>
      <c r="J24" s="6">
        <v>0</v>
      </c>
      <c r="K24" s="28">
        <f t="shared" si="11"/>
        <v>915</v>
      </c>
      <c r="L24" s="19"/>
      <c r="M24" s="25">
        <f t="shared" si="13"/>
        <v>429.94406392694066</v>
      </c>
      <c r="N24" s="25">
        <f t="shared" si="14"/>
        <v>709.407705479452</v>
      </c>
      <c r="O24" s="25">
        <f t="shared" si="7"/>
        <v>322.1979487179487</v>
      </c>
      <c r="P24" s="25"/>
      <c r="Q24" s="30"/>
      <c r="R24" s="30"/>
      <c r="S24" s="30"/>
    </row>
    <row r="25" spans="1:19" ht="10.5" customHeight="1">
      <c r="A25" s="4" t="s">
        <v>64</v>
      </c>
      <c r="B25" s="23"/>
      <c r="C25" s="30"/>
      <c r="D25" s="26"/>
      <c r="E25" s="16">
        <f>738562+19700</f>
        <v>758262</v>
      </c>
      <c r="F25" s="19">
        <f>E25-(E25/1.12)</f>
        <v>81242.35714285716</v>
      </c>
      <c r="G25" s="19">
        <f>J25*132</f>
        <v>0</v>
      </c>
      <c r="H25" s="6">
        <f>E25/12</f>
        <v>63188.5</v>
      </c>
      <c r="I25" s="28"/>
      <c r="J25" s="6">
        <v>0</v>
      </c>
      <c r="K25" s="28">
        <f t="shared" si="11"/>
        <v>915</v>
      </c>
      <c r="L25" s="19"/>
      <c r="M25" s="25">
        <f>E25/1752</f>
        <v>432.79794520547944</v>
      </c>
      <c r="N25" s="25">
        <f>M25*1.65</f>
        <v>714.116609589041</v>
      </c>
      <c r="O25" s="25">
        <f t="shared" si="7"/>
        <v>324.7620512820513</v>
      </c>
      <c r="P25" s="25"/>
      <c r="Q25" s="30"/>
      <c r="R25" s="30"/>
      <c r="S25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E4" sqref="E4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67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2</v>
      </c>
      <c r="B4" s="23" t="s">
        <v>23</v>
      </c>
      <c r="C4" s="23" t="s">
        <v>20</v>
      </c>
      <c r="D4" s="23" t="s">
        <v>22</v>
      </c>
      <c r="E4" s="16">
        <f>611448+5160+3100+9100+7166+4500+19700+1400</f>
        <v>661574</v>
      </c>
      <c r="F4" s="19">
        <f aca="true" t="shared" si="0" ref="F4:F9">E4-(E4/1.12)</f>
        <v>70882.92857142864</v>
      </c>
      <c r="G4" s="19">
        <f aca="true" t="shared" si="1" ref="G4:G9">J4*132</f>
        <v>0</v>
      </c>
      <c r="H4" s="6">
        <f aca="true" t="shared" si="2" ref="H4:H9">E4/12</f>
        <v>55131.166666666664</v>
      </c>
      <c r="I4" s="6"/>
      <c r="J4" s="6">
        <v>0</v>
      </c>
      <c r="K4" s="19">
        <f aca="true" t="shared" si="3" ref="K4:K9">J4*146</f>
        <v>0</v>
      </c>
      <c r="L4" s="24">
        <f aca="true" t="shared" si="4" ref="L4:L9">(E4-K4)/12</f>
        <v>55131.166666666664</v>
      </c>
      <c r="M4" s="25">
        <f aca="true" t="shared" si="5" ref="M4:M9">E4/1752</f>
        <v>377.6107305936073</v>
      </c>
      <c r="N4" s="25">
        <f aca="true" t="shared" si="6" ref="N4:N9">M4*1.65</f>
        <v>623.057705479452</v>
      </c>
      <c r="O4" s="25">
        <f aca="true" t="shared" si="7" ref="O4:O25">(E4-(856*146))/1950</f>
        <v>275.17846153846153</v>
      </c>
    </row>
    <row r="5" spans="1:15" ht="10.5" customHeight="1">
      <c r="A5" s="4" t="s">
        <v>12</v>
      </c>
      <c r="B5" s="23"/>
      <c r="C5" s="23" t="s">
        <v>21</v>
      </c>
      <c r="D5" s="23"/>
      <c r="E5" s="16">
        <f>623965+5160+3100+9100+7166+4500+19700+1400</f>
        <v>674091</v>
      </c>
      <c r="F5" s="19">
        <f t="shared" si="0"/>
        <v>72224.0357142858</v>
      </c>
      <c r="G5" s="19">
        <f t="shared" si="1"/>
        <v>0</v>
      </c>
      <c r="H5" s="6">
        <f t="shared" si="2"/>
        <v>56174.25</v>
      </c>
      <c r="I5" s="6"/>
      <c r="J5" s="6">
        <v>0</v>
      </c>
      <c r="K5" s="19">
        <f t="shared" si="3"/>
        <v>0</v>
      </c>
      <c r="L5" s="24">
        <f t="shared" si="4"/>
        <v>56174.25</v>
      </c>
      <c r="M5" s="25">
        <f t="shared" si="5"/>
        <v>384.75513698630135</v>
      </c>
      <c r="N5" s="25">
        <f t="shared" si="6"/>
        <v>634.8459760273972</v>
      </c>
      <c r="O5" s="25">
        <f t="shared" si="7"/>
        <v>281.5974358974359</v>
      </c>
    </row>
    <row r="6" spans="1:15" ht="10.5" customHeight="1">
      <c r="A6" s="4" t="s">
        <v>13</v>
      </c>
      <c r="B6" s="23"/>
      <c r="C6" s="23"/>
      <c r="D6" s="23"/>
      <c r="E6" s="16">
        <f>640371+5160+3100+9100+7166+4500+19700+1400</f>
        <v>690497</v>
      </c>
      <c r="F6" s="19">
        <f t="shared" si="0"/>
        <v>73981.82142857148</v>
      </c>
      <c r="G6" s="19">
        <f t="shared" si="1"/>
        <v>0</v>
      </c>
      <c r="H6" s="6">
        <f t="shared" si="2"/>
        <v>57541.416666666664</v>
      </c>
      <c r="I6" s="6"/>
      <c r="J6" s="6">
        <v>0</v>
      </c>
      <c r="K6" s="19">
        <f t="shared" si="3"/>
        <v>0</v>
      </c>
      <c r="L6" s="24">
        <f t="shared" si="4"/>
        <v>57541.416666666664</v>
      </c>
      <c r="M6" s="25">
        <f t="shared" si="5"/>
        <v>394.11929223744295</v>
      </c>
      <c r="N6" s="25">
        <f t="shared" si="6"/>
        <v>650.2968321917808</v>
      </c>
      <c r="O6" s="25">
        <f t="shared" si="7"/>
        <v>290.01076923076926</v>
      </c>
    </row>
    <row r="7" spans="1:15" ht="10.5" customHeight="1">
      <c r="A7" s="4" t="s">
        <v>3</v>
      </c>
      <c r="B7" s="23"/>
      <c r="C7" s="23"/>
      <c r="D7" s="23"/>
      <c r="E7" s="16">
        <f>675745+19700+1400</f>
        <v>696845</v>
      </c>
      <c r="F7" s="19">
        <f>E7-(E7/1.12)</f>
        <v>74661.96428571432</v>
      </c>
      <c r="G7" s="19">
        <f>J7*132</f>
        <v>0</v>
      </c>
      <c r="H7" s="6">
        <f>E7/12</f>
        <v>58070.416666666664</v>
      </c>
      <c r="I7" s="6"/>
      <c r="J7" s="6">
        <v>0</v>
      </c>
      <c r="K7" s="19">
        <f>J7*146</f>
        <v>0</v>
      </c>
      <c r="L7" s="24">
        <f>(E7-K7)/12</f>
        <v>58070.416666666664</v>
      </c>
      <c r="M7" s="25">
        <f>E7/1752</f>
        <v>397.7425799086758</v>
      </c>
      <c r="N7" s="25">
        <f>M7*1.65</f>
        <v>656.275256849315</v>
      </c>
      <c r="O7" s="25">
        <f t="shared" si="7"/>
        <v>293.2661538461538</v>
      </c>
    </row>
    <row r="8" spans="1:15" ht="10.5" customHeight="1">
      <c r="A8" s="4" t="s">
        <v>14</v>
      </c>
      <c r="B8" s="23" t="s">
        <v>29</v>
      </c>
      <c r="C8" s="23"/>
      <c r="D8" s="23"/>
      <c r="E8" s="16">
        <f>680745+19700+1400</f>
        <v>701845</v>
      </c>
      <c r="F8" s="19">
        <f>E8-(E8/1.12)</f>
        <v>75197.67857142864</v>
      </c>
      <c r="G8" s="19">
        <f>J8*132</f>
        <v>0</v>
      </c>
      <c r="H8" s="6">
        <f>E8/12</f>
        <v>58487.083333333336</v>
      </c>
      <c r="I8" s="6"/>
      <c r="J8" s="6">
        <v>0</v>
      </c>
      <c r="K8" s="19">
        <f>J8*146</f>
        <v>0</v>
      </c>
      <c r="L8" s="24">
        <f>(E8-K8)/12</f>
        <v>58487.083333333336</v>
      </c>
      <c r="M8" s="25">
        <f>E8/1752</f>
        <v>400.59646118721463</v>
      </c>
      <c r="N8" s="25">
        <f>M8*1.65</f>
        <v>660.9841609589041</v>
      </c>
      <c r="O8" s="25">
        <f t="shared" si="7"/>
        <v>295.8302564102564</v>
      </c>
    </row>
    <row r="9" spans="1:15" ht="10.5" customHeight="1">
      <c r="A9" s="4" t="s">
        <v>15</v>
      </c>
      <c r="B9" s="23"/>
      <c r="C9" s="23"/>
      <c r="D9" s="23"/>
      <c r="E9" s="16">
        <f>685745+19700+1400</f>
        <v>706845</v>
      </c>
      <c r="F9" s="19">
        <f t="shared" si="0"/>
        <v>75733.39285714296</v>
      </c>
      <c r="G9" s="19">
        <f t="shared" si="1"/>
        <v>0</v>
      </c>
      <c r="H9" s="6">
        <f t="shared" si="2"/>
        <v>58903.75</v>
      </c>
      <c r="I9" s="6"/>
      <c r="J9" s="6">
        <v>0</v>
      </c>
      <c r="K9" s="19">
        <f t="shared" si="3"/>
        <v>0</v>
      </c>
      <c r="L9" s="24">
        <f t="shared" si="4"/>
        <v>58903.75</v>
      </c>
      <c r="M9" s="25">
        <f t="shared" si="5"/>
        <v>403.4503424657534</v>
      </c>
      <c r="N9" s="25">
        <f t="shared" si="6"/>
        <v>665.6930650684931</v>
      </c>
      <c r="O9" s="25">
        <f t="shared" si="7"/>
        <v>298.39435897435897</v>
      </c>
    </row>
    <row r="10" spans="1:15" ht="10.5" customHeight="1">
      <c r="A10" s="4" t="s">
        <v>16</v>
      </c>
      <c r="B10" s="23"/>
      <c r="C10" s="23"/>
      <c r="D10" s="23"/>
      <c r="E10" s="16">
        <f>690745+19700+1400</f>
        <v>711845</v>
      </c>
      <c r="F10" s="19">
        <f>E10-(E10/1.12)</f>
        <v>76269.10714285716</v>
      </c>
      <c r="G10" s="19">
        <f>J10*132</f>
        <v>0</v>
      </c>
      <c r="H10" s="6">
        <f>E10/12</f>
        <v>59320.416666666664</v>
      </c>
      <c r="I10" s="6"/>
      <c r="J10" s="6">
        <v>0</v>
      </c>
      <c r="K10" s="19">
        <f>J10*146</f>
        <v>0</v>
      </c>
      <c r="L10" s="24">
        <f>(E10-K10)/12</f>
        <v>59320.416666666664</v>
      </c>
      <c r="M10" s="25">
        <f>E10/1752</f>
        <v>406.30422374429224</v>
      </c>
      <c r="N10" s="25">
        <f>M10*1.65</f>
        <v>670.4019691780821</v>
      </c>
      <c r="O10" s="25">
        <f t="shared" si="7"/>
        <v>300.95846153846156</v>
      </c>
    </row>
    <row r="11" spans="1:15" ht="10.5" customHeight="1">
      <c r="A11" s="4" t="s">
        <v>30</v>
      </c>
      <c r="B11" s="23"/>
      <c r="C11" s="23"/>
      <c r="D11" s="23"/>
      <c r="E11" s="16">
        <f>695745+19700+1400</f>
        <v>716845</v>
      </c>
      <c r="F11" s="19">
        <f>E11-(E11/1.12)</f>
        <v>76804.82142857148</v>
      </c>
      <c r="G11" s="19">
        <f>J11*132</f>
        <v>0</v>
      </c>
      <c r="H11" s="6">
        <f>E11/12</f>
        <v>59737.083333333336</v>
      </c>
      <c r="I11" s="6"/>
      <c r="J11" s="6">
        <v>0</v>
      </c>
      <c r="K11" s="19">
        <f>J11*146</f>
        <v>0</v>
      </c>
      <c r="L11" s="24">
        <f>(E11-K11)/12</f>
        <v>59737.083333333336</v>
      </c>
      <c r="M11" s="25">
        <f>E11/1752</f>
        <v>409.158105022831</v>
      </c>
      <c r="N11" s="25">
        <f>M11*1.65</f>
        <v>675.1108732876711</v>
      </c>
      <c r="O11" s="25">
        <f t="shared" si="7"/>
        <v>303.5225641025641</v>
      </c>
    </row>
    <row r="12" spans="1:15" ht="10.5" customHeight="1">
      <c r="A12" s="4" t="s">
        <v>35</v>
      </c>
      <c r="B12" s="23"/>
      <c r="C12" s="23"/>
      <c r="D12" s="23"/>
      <c r="E12" s="16">
        <f>700745+19700+1400</f>
        <v>721845</v>
      </c>
      <c r="F12" s="19">
        <f>E12-(E12/1.12)</f>
        <v>77340.5357142858</v>
      </c>
      <c r="G12" s="19">
        <f>J12*132</f>
        <v>0</v>
      </c>
      <c r="H12" s="6">
        <f>E12/12</f>
        <v>60153.75</v>
      </c>
      <c r="I12" s="6"/>
      <c r="J12" s="6">
        <v>0</v>
      </c>
      <c r="K12" s="19">
        <f>J12*146</f>
        <v>0</v>
      </c>
      <c r="L12" s="24">
        <f>(E12-K12)/12</f>
        <v>60153.75</v>
      </c>
      <c r="M12" s="25">
        <f>E12/1752</f>
        <v>412.01198630136986</v>
      </c>
      <c r="N12" s="25">
        <f>M12*1.65</f>
        <v>679.8197773972603</v>
      </c>
      <c r="O12" s="25">
        <f t="shared" si="7"/>
        <v>306.08666666666664</v>
      </c>
    </row>
    <row r="13" spans="1:15" ht="10.5" customHeight="1">
      <c r="A13" s="4" t="s">
        <v>60</v>
      </c>
      <c r="B13" s="23"/>
      <c r="C13" s="23"/>
      <c r="D13" s="23"/>
      <c r="E13" s="16">
        <f>705745+19700+1400</f>
        <v>726845</v>
      </c>
      <c r="F13" s="19">
        <f>E13-(E13/1.12)</f>
        <v>77876.25000000012</v>
      </c>
      <c r="G13" s="19">
        <f>J13*132</f>
        <v>0</v>
      </c>
      <c r="H13" s="6">
        <f>E13/12</f>
        <v>60570.416666666664</v>
      </c>
      <c r="I13" s="6"/>
      <c r="J13" s="6">
        <v>0</v>
      </c>
      <c r="K13" s="19">
        <f>J13*146</f>
        <v>0</v>
      </c>
      <c r="L13" s="24">
        <f>(E13-K13)/12</f>
        <v>60570.416666666664</v>
      </c>
      <c r="M13" s="25">
        <f>E13/1752</f>
        <v>414.8658675799087</v>
      </c>
      <c r="N13" s="25">
        <f>M13*1.65</f>
        <v>684.5286815068494</v>
      </c>
      <c r="O13" s="25">
        <f t="shared" si="7"/>
        <v>308.65076923076924</v>
      </c>
    </row>
    <row r="14" spans="1:15" ht="10.5" customHeight="1">
      <c r="A14" s="4" t="s">
        <v>63</v>
      </c>
      <c r="B14" s="23"/>
      <c r="C14" s="23"/>
      <c r="D14" s="23"/>
      <c r="E14" s="16">
        <f>706245+4500+19700+1400</f>
        <v>731845</v>
      </c>
      <c r="F14" s="19">
        <f>E14-(E14/1.12)</f>
        <v>78411.96428571432</v>
      </c>
      <c r="G14" s="19">
        <f>J14*132</f>
        <v>0</v>
      </c>
      <c r="H14" s="6">
        <f>E14/12</f>
        <v>60987.083333333336</v>
      </c>
      <c r="I14" s="6"/>
      <c r="J14" s="6">
        <v>0</v>
      </c>
      <c r="K14" s="19">
        <f>J14*146</f>
        <v>0</v>
      </c>
      <c r="L14" s="24">
        <f>(E14-K14)/12</f>
        <v>60987.083333333336</v>
      </c>
      <c r="M14" s="25">
        <f>E14/1752</f>
        <v>417.7197488584475</v>
      </c>
      <c r="N14" s="25">
        <f>M14*1.65</f>
        <v>689.2375856164383</v>
      </c>
      <c r="O14" s="25">
        <f t="shared" si="7"/>
        <v>311.2148717948718</v>
      </c>
    </row>
    <row r="15" spans="1:15" ht="10.5" customHeight="1">
      <c r="A15" s="4"/>
      <c r="B15" s="23"/>
      <c r="C15" s="23"/>
      <c r="D15" s="23"/>
      <c r="E15" s="20"/>
      <c r="F15" s="16"/>
      <c r="G15" s="16"/>
      <c r="H15" s="27"/>
      <c r="I15" s="28"/>
      <c r="J15" s="6"/>
      <c r="K15" s="19"/>
      <c r="L15" s="24"/>
      <c r="M15" s="25"/>
      <c r="N15" s="25"/>
      <c r="O15" s="25"/>
    </row>
    <row r="16" spans="1:19" ht="10.5" customHeight="1">
      <c r="A16" s="4" t="s">
        <v>38</v>
      </c>
      <c r="B16" s="38" t="s">
        <v>37</v>
      </c>
      <c r="C16" s="23" t="s">
        <v>20</v>
      </c>
      <c r="D16" s="23" t="s">
        <v>48</v>
      </c>
      <c r="E16" s="16">
        <f>647895+5160+3100+9100+7166+4500+19700+1400</f>
        <v>698021</v>
      </c>
      <c r="F16" s="19">
        <f aca="true" t="shared" si="8" ref="F16:F24">E16-(E16/1.12)</f>
        <v>74787.96428571432</v>
      </c>
      <c r="G16" s="19">
        <f aca="true" t="shared" si="9" ref="G16:G23">J16*132</f>
        <v>0</v>
      </c>
      <c r="H16" s="6">
        <f aca="true" t="shared" si="10" ref="H16:H24">E16/12</f>
        <v>58168.416666666664</v>
      </c>
      <c r="I16" s="28"/>
      <c r="J16" s="6">
        <v>0</v>
      </c>
      <c r="K16" s="28">
        <f aca="true" t="shared" si="11" ref="K16:K25">892+14+9</f>
        <v>915</v>
      </c>
      <c r="L16" s="19">
        <f aca="true" t="shared" si="12" ref="L16:L22">J16*146</f>
        <v>0</v>
      </c>
      <c r="M16" s="25">
        <f aca="true" t="shared" si="13" ref="M16:M24">E16/1752</f>
        <v>398.41381278538813</v>
      </c>
      <c r="N16" s="25">
        <f aca="true" t="shared" si="14" ref="N16:N24">M16*1.65</f>
        <v>657.3827910958904</v>
      </c>
      <c r="O16" s="25">
        <f t="shared" si="7"/>
        <v>293.8692307692308</v>
      </c>
      <c r="P16" s="25"/>
      <c r="Q16" s="30"/>
      <c r="R16" s="30"/>
      <c r="S16" s="30"/>
    </row>
    <row r="17" spans="1:19" ht="10.5" customHeight="1">
      <c r="A17" s="4" t="s">
        <v>39</v>
      </c>
      <c r="B17" s="23"/>
      <c r="C17" s="23" t="s">
        <v>47</v>
      </c>
      <c r="D17" s="23"/>
      <c r="E17" s="16">
        <f>664342+5160+3100+9100+7166+4500+19700+1400</f>
        <v>714468</v>
      </c>
      <c r="F17" s="19">
        <f t="shared" si="8"/>
        <v>76550.14285714296</v>
      </c>
      <c r="G17" s="19">
        <f t="shared" si="9"/>
        <v>0</v>
      </c>
      <c r="H17" s="6">
        <f t="shared" si="10"/>
        <v>59539</v>
      </c>
      <c r="I17" s="28"/>
      <c r="J17" s="6">
        <v>0</v>
      </c>
      <c r="K17" s="28">
        <f t="shared" si="11"/>
        <v>915</v>
      </c>
      <c r="L17" s="19">
        <f t="shared" si="12"/>
        <v>0</v>
      </c>
      <c r="M17" s="25">
        <f t="shared" si="13"/>
        <v>407.8013698630137</v>
      </c>
      <c r="N17" s="25">
        <f t="shared" si="14"/>
        <v>672.8722602739725</v>
      </c>
      <c r="O17" s="25">
        <f t="shared" si="7"/>
        <v>302.3035897435897</v>
      </c>
      <c r="P17" s="25"/>
      <c r="Q17" s="30"/>
      <c r="R17" s="30"/>
      <c r="S17" s="30"/>
    </row>
    <row r="18" spans="1:19" ht="10.5" customHeight="1">
      <c r="A18" s="4" t="s">
        <v>40</v>
      </c>
      <c r="B18" s="23"/>
      <c r="C18" s="30"/>
      <c r="D18" s="26"/>
      <c r="E18" s="16">
        <f>703562+19700+1400</f>
        <v>724662</v>
      </c>
      <c r="F18" s="19">
        <f>E18-(E18/1.12)</f>
        <v>77642.35714285716</v>
      </c>
      <c r="G18" s="19">
        <f>J18*132</f>
        <v>0</v>
      </c>
      <c r="H18" s="6">
        <f>E18/12</f>
        <v>60388.5</v>
      </c>
      <c r="I18" s="28"/>
      <c r="J18" s="6">
        <v>0</v>
      </c>
      <c r="K18" s="28">
        <f t="shared" si="11"/>
        <v>915</v>
      </c>
      <c r="L18" s="19">
        <f t="shared" si="12"/>
        <v>0</v>
      </c>
      <c r="M18" s="25">
        <f>E18/1752</f>
        <v>413.61986301369865</v>
      </c>
      <c r="N18" s="25">
        <f>M18*1.65</f>
        <v>682.4727739726027</v>
      </c>
      <c r="O18" s="25">
        <f t="shared" si="7"/>
        <v>307.53128205128206</v>
      </c>
      <c r="P18" s="25"/>
      <c r="Q18" s="30"/>
      <c r="R18" s="30"/>
      <c r="S18" s="30"/>
    </row>
    <row r="19" spans="1:19" ht="10.5" customHeight="1">
      <c r="A19" s="4" t="s">
        <v>41</v>
      </c>
      <c r="B19" s="23"/>
      <c r="C19" s="30"/>
      <c r="D19" s="26"/>
      <c r="E19" s="16">
        <f>708562+19700+1400</f>
        <v>729662</v>
      </c>
      <c r="F19" s="19">
        <f>E19-(E19/1.12)</f>
        <v>78178.07142857148</v>
      </c>
      <c r="G19" s="19">
        <f>J19*132</f>
        <v>0</v>
      </c>
      <c r="H19" s="6">
        <f>E19/12</f>
        <v>60805.166666666664</v>
      </c>
      <c r="I19" s="28"/>
      <c r="J19" s="6">
        <v>0</v>
      </c>
      <c r="K19" s="28">
        <f t="shared" si="11"/>
        <v>915</v>
      </c>
      <c r="L19" s="19">
        <f t="shared" si="12"/>
        <v>0</v>
      </c>
      <c r="M19" s="25">
        <f>E19/1752</f>
        <v>416.4737442922374</v>
      </c>
      <c r="N19" s="25">
        <f>M19*1.65</f>
        <v>687.1816780821918</v>
      </c>
      <c r="O19" s="25">
        <f t="shared" si="7"/>
        <v>310.0953846153846</v>
      </c>
      <c r="P19" s="25"/>
      <c r="Q19" s="30"/>
      <c r="R19" s="30"/>
      <c r="S19" s="30"/>
    </row>
    <row r="20" spans="1:19" ht="10.5" customHeight="1">
      <c r="A20" s="4" t="s">
        <v>42</v>
      </c>
      <c r="B20" s="23"/>
      <c r="C20" s="30"/>
      <c r="D20" s="26"/>
      <c r="E20" s="16">
        <f>713562+19700+1400</f>
        <v>734662</v>
      </c>
      <c r="F20" s="19">
        <f>E20-(E20/1.12)</f>
        <v>78713.7857142858</v>
      </c>
      <c r="G20" s="19">
        <f>J20*132</f>
        <v>0</v>
      </c>
      <c r="H20" s="6">
        <f>E20/12</f>
        <v>61221.833333333336</v>
      </c>
      <c r="I20" s="28"/>
      <c r="J20" s="6">
        <v>0</v>
      </c>
      <c r="K20" s="28">
        <f t="shared" si="11"/>
        <v>915</v>
      </c>
      <c r="L20" s="19">
        <f t="shared" si="12"/>
        <v>0</v>
      </c>
      <c r="M20" s="25">
        <f>E20/1752</f>
        <v>419.32762557077626</v>
      </c>
      <c r="N20" s="25">
        <f>M20*1.65</f>
        <v>691.8905821917808</v>
      </c>
      <c r="O20" s="25">
        <f t="shared" si="7"/>
        <v>312.6594871794872</v>
      </c>
      <c r="P20" s="25"/>
      <c r="Q20" s="30"/>
      <c r="R20" s="30"/>
      <c r="S20" s="30"/>
    </row>
    <row r="21" spans="1:19" ht="10.5" customHeight="1">
      <c r="A21" s="4" t="s">
        <v>43</v>
      </c>
      <c r="B21" s="23"/>
      <c r="C21" s="30"/>
      <c r="D21" s="26"/>
      <c r="E21" s="16">
        <f>718562+19700+1400</f>
        <v>739662</v>
      </c>
      <c r="F21" s="19">
        <f>E21-(E21/1.12)</f>
        <v>79249.50000000012</v>
      </c>
      <c r="G21" s="19">
        <f>J21*132</f>
        <v>0</v>
      </c>
      <c r="H21" s="6">
        <f>E21/12</f>
        <v>61638.5</v>
      </c>
      <c r="I21" s="28"/>
      <c r="J21" s="6">
        <v>0</v>
      </c>
      <c r="K21" s="28">
        <f t="shared" si="11"/>
        <v>915</v>
      </c>
      <c r="L21" s="19">
        <f t="shared" si="12"/>
        <v>0</v>
      </c>
      <c r="M21" s="25">
        <f>E21/1752</f>
        <v>422.18150684931504</v>
      </c>
      <c r="N21" s="25">
        <f>M21*1.65</f>
        <v>696.5994863013698</v>
      </c>
      <c r="O21" s="25">
        <f t="shared" si="7"/>
        <v>315.22358974358974</v>
      </c>
      <c r="P21" s="25"/>
      <c r="Q21" s="30"/>
      <c r="R21" s="30"/>
      <c r="S21" s="30"/>
    </row>
    <row r="22" spans="1:19" ht="10.5" customHeight="1">
      <c r="A22" s="4" t="s">
        <v>44</v>
      </c>
      <c r="B22" s="23"/>
      <c r="C22" s="30"/>
      <c r="D22" s="26"/>
      <c r="E22" s="16">
        <f>723562+19700+1400</f>
        <v>744662</v>
      </c>
      <c r="F22" s="19">
        <f t="shared" si="8"/>
        <v>79785.21428571432</v>
      </c>
      <c r="G22" s="19">
        <f t="shared" si="9"/>
        <v>0</v>
      </c>
      <c r="H22" s="6">
        <f t="shared" si="10"/>
        <v>62055.166666666664</v>
      </c>
      <c r="I22" s="28"/>
      <c r="J22" s="6">
        <v>0</v>
      </c>
      <c r="K22" s="28">
        <f t="shared" si="11"/>
        <v>915</v>
      </c>
      <c r="L22" s="19">
        <f t="shared" si="12"/>
        <v>0</v>
      </c>
      <c r="M22" s="25">
        <f t="shared" si="13"/>
        <v>425.0353881278539</v>
      </c>
      <c r="N22" s="25">
        <f t="shared" si="14"/>
        <v>701.3083904109589</v>
      </c>
      <c r="O22" s="25">
        <f t="shared" si="7"/>
        <v>317.7876923076923</v>
      </c>
      <c r="P22" s="25"/>
      <c r="Q22" s="30"/>
      <c r="R22" s="30"/>
      <c r="S22" s="30"/>
    </row>
    <row r="23" spans="1:19" ht="10.5" customHeight="1">
      <c r="A23" s="4" t="s">
        <v>45</v>
      </c>
      <c r="B23" s="23"/>
      <c r="C23" s="30"/>
      <c r="D23" s="26"/>
      <c r="E23" s="16">
        <f>728562+19700+1400</f>
        <v>749662</v>
      </c>
      <c r="F23" s="19">
        <f t="shared" si="8"/>
        <v>80320.92857142864</v>
      </c>
      <c r="G23" s="19">
        <f t="shared" si="9"/>
        <v>0</v>
      </c>
      <c r="H23" s="6">
        <f t="shared" si="10"/>
        <v>62471.833333333336</v>
      </c>
      <c r="I23" s="28"/>
      <c r="J23" s="6">
        <v>0</v>
      </c>
      <c r="K23" s="28">
        <f t="shared" si="11"/>
        <v>915</v>
      </c>
      <c r="L23" s="19"/>
      <c r="M23" s="25">
        <f t="shared" si="13"/>
        <v>427.8892694063927</v>
      </c>
      <c r="N23" s="25">
        <f t="shared" si="14"/>
        <v>706.0172945205479</v>
      </c>
      <c r="O23" s="25">
        <f t="shared" si="7"/>
        <v>320.3517948717949</v>
      </c>
      <c r="P23" s="25"/>
      <c r="Q23" s="30"/>
      <c r="R23" s="30"/>
      <c r="S23" s="30"/>
    </row>
    <row r="24" spans="1:19" ht="10.5" customHeight="1">
      <c r="A24" s="4" t="s">
        <v>46</v>
      </c>
      <c r="B24" s="23"/>
      <c r="C24" s="30"/>
      <c r="D24" s="26"/>
      <c r="E24" s="16">
        <f>733562+19700+1400</f>
        <v>754662</v>
      </c>
      <c r="F24" s="19">
        <f t="shared" si="8"/>
        <v>80856.64285714296</v>
      </c>
      <c r="G24" s="19">
        <f>J24*132</f>
        <v>0</v>
      </c>
      <c r="H24" s="6">
        <f t="shared" si="10"/>
        <v>62888.5</v>
      </c>
      <c r="I24" s="28"/>
      <c r="J24" s="6">
        <v>0</v>
      </c>
      <c r="K24" s="28">
        <f t="shared" si="11"/>
        <v>915</v>
      </c>
      <c r="L24" s="19"/>
      <c r="M24" s="25">
        <f t="shared" si="13"/>
        <v>430.7431506849315</v>
      </c>
      <c r="N24" s="25">
        <f t="shared" si="14"/>
        <v>710.7261986301369</v>
      </c>
      <c r="O24" s="25">
        <f t="shared" si="7"/>
        <v>322.9158974358974</v>
      </c>
      <c r="P24" s="25"/>
      <c r="Q24" s="30"/>
      <c r="R24" s="30"/>
      <c r="S24" s="30"/>
    </row>
    <row r="25" spans="1:19" ht="10.5" customHeight="1">
      <c r="A25" s="4" t="s">
        <v>64</v>
      </c>
      <c r="B25" s="23"/>
      <c r="C25" s="30"/>
      <c r="D25" s="26"/>
      <c r="E25" s="16">
        <f>738562+19700+1400</f>
        <v>759662</v>
      </c>
      <c r="F25" s="19">
        <f>E25-(E25/1.12)</f>
        <v>81392.35714285716</v>
      </c>
      <c r="G25" s="19">
        <f>J25*132</f>
        <v>0</v>
      </c>
      <c r="H25" s="6">
        <f>E25/12</f>
        <v>63305.166666666664</v>
      </c>
      <c r="I25" s="28"/>
      <c r="J25" s="6">
        <v>0</v>
      </c>
      <c r="K25" s="28">
        <f t="shared" si="11"/>
        <v>915</v>
      </c>
      <c r="L25" s="19"/>
      <c r="M25" s="25">
        <f>E25/1752</f>
        <v>433.59703196347033</v>
      </c>
      <c r="N25" s="25">
        <f>M25*1.65</f>
        <v>715.435102739726</v>
      </c>
      <c r="O25" s="25">
        <f t="shared" si="7"/>
        <v>325.48</v>
      </c>
      <c r="P25" s="25"/>
      <c r="Q25" s="30"/>
      <c r="R25" s="30"/>
      <c r="S25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E12" sqref="E12"/>
    </sheetView>
  </sheetViews>
  <sheetFormatPr defaultColWidth="10.421875" defaultRowHeight="12" customHeight="1"/>
  <cols>
    <col min="1" max="1" width="10.140625" style="10" customWidth="1"/>
    <col min="2" max="2" width="20.421875" style="29" customWidth="1"/>
    <col min="3" max="3" width="17.00390625" style="29" customWidth="1"/>
    <col min="4" max="4" width="8.28125" style="29" bestFit="1" customWidth="1"/>
    <col min="5" max="5" width="8.7109375" style="31" bestFit="1" customWidth="1"/>
    <col min="6" max="6" width="6.57421875" style="32" bestFit="1" customWidth="1"/>
    <col min="7" max="7" width="7.140625" style="32" customWidth="1"/>
    <col min="8" max="8" width="7.7109375" style="33" bestFit="1" customWidth="1"/>
    <col min="9" max="9" width="0.85546875" style="34" customWidth="1"/>
    <col min="10" max="10" width="6.00390625" style="33" bestFit="1" customWidth="1"/>
    <col min="11" max="11" width="10.421875" style="35" hidden="1" customWidth="1"/>
    <col min="12" max="12" width="10.421875" style="26" hidden="1" customWidth="1"/>
    <col min="13" max="13" width="10.00390625" style="36" bestFit="1" customWidth="1"/>
    <col min="14" max="14" width="8.28125" style="36" bestFit="1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33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</v>
      </c>
      <c r="B4" s="23" t="s">
        <v>23</v>
      </c>
      <c r="C4" s="23" t="s">
        <v>20</v>
      </c>
      <c r="D4" s="23" t="s">
        <v>22</v>
      </c>
      <c r="E4" s="16">
        <f>(466721*1.011)+10000+5733</f>
        <v>487587.9309999999</v>
      </c>
      <c r="F4" s="19">
        <f aca="true" t="shared" si="0" ref="F4:F12">E4-(E4/1.12)</f>
        <v>52241.56403571431</v>
      </c>
      <c r="G4" s="19">
        <f aca="true" t="shared" si="1" ref="G4:G12">J4*132</f>
        <v>0</v>
      </c>
      <c r="H4" s="6">
        <f>E4/12</f>
        <v>40632.327583333325</v>
      </c>
      <c r="I4" s="6"/>
      <c r="J4" s="6">
        <v>0</v>
      </c>
      <c r="K4" s="19">
        <f aca="true" t="shared" si="2" ref="K4:K12">J4*146</f>
        <v>0</v>
      </c>
      <c r="L4" s="24">
        <f aca="true" t="shared" si="3" ref="L4:L12">(E4-K4)/12</f>
        <v>40632.327583333325</v>
      </c>
      <c r="M4" s="25">
        <f aca="true" t="shared" si="4" ref="M4:M12">E4/1752</f>
        <v>278.3036135844748</v>
      </c>
      <c r="N4" s="25">
        <f aca="true" t="shared" si="5" ref="N4:N12">M4*1.65</f>
        <v>459.2009624143834</v>
      </c>
      <c r="O4" s="25">
        <f aca="true" t="shared" si="6" ref="O4:O12">H4/162.5</f>
        <v>250.04509282051276</v>
      </c>
    </row>
    <row r="5" spans="1:15" ht="10.5" customHeight="1">
      <c r="A5" s="4" t="s">
        <v>2</v>
      </c>
      <c r="B5" s="23"/>
      <c r="C5" s="23" t="s">
        <v>21</v>
      </c>
      <c r="D5" s="23"/>
      <c r="E5" s="16">
        <f>(478568*1.011)+10000+5733</f>
        <v>499565.24799999996</v>
      </c>
      <c r="F5" s="19">
        <f t="shared" si="0"/>
        <v>53524.848000000056</v>
      </c>
      <c r="G5" s="19">
        <f t="shared" si="1"/>
        <v>0</v>
      </c>
      <c r="H5" s="6">
        <f aca="true" t="shared" si="7" ref="H5:H12">E5/12</f>
        <v>41630.43733333333</v>
      </c>
      <c r="I5" s="6"/>
      <c r="J5" s="6">
        <v>0</v>
      </c>
      <c r="K5" s="19">
        <f t="shared" si="2"/>
        <v>0</v>
      </c>
      <c r="L5" s="24">
        <f t="shared" si="3"/>
        <v>41630.43733333333</v>
      </c>
      <c r="M5" s="25">
        <f t="shared" si="4"/>
        <v>285.1399817351598</v>
      </c>
      <c r="N5" s="25">
        <f t="shared" si="5"/>
        <v>470.4809698630136</v>
      </c>
      <c r="O5" s="25">
        <f t="shared" si="6"/>
        <v>256.18730666666664</v>
      </c>
    </row>
    <row r="6" spans="1:15" ht="10.5" customHeight="1">
      <c r="A6" s="4" t="s">
        <v>12</v>
      </c>
      <c r="B6" s="23" t="s">
        <v>25</v>
      </c>
      <c r="C6" s="23" t="s">
        <v>28</v>
      </c>
      <c r="D6" s="23" t="s">
        <v>27</v>
      </c>
      <c r="E6" s="16">
        <f>(490413*1.011)+10000+5733</f>
        <v>511540.54299999995</v>
      </c>
      <c r="F6" s="19">
        <f t="shared" si="0"/>
        <v>54807.91532142862</v>
      </c>
      <c r="G6" s="19">
        <f t="shared" si="1"/>
        <v>0</v>
      </c>
      <c r="H6" s="6">
        <f t="shared" si="7"/>
        <v>42628.37858333333</v>
      </c>
      <c r="I6" s="6"/>
      <c r="J6" s="6">
        <v>0</v>
      </c>
      <c r="K6" s="19">
        <f t="shared" si="2"/>
        <v>0</v>
      </c>
      <c r="L6" s="24">
        <f t="shared" si="3"/>
        <v>42628.37858333333</v>
      </c>
      <c r="M6" s="25">
        <f t="shared" si="4"/>
        <v>291.9751957762557</v>
      </c>
      <c r="N6" s="25">
        <f t="shared" si="5"/>
        <v>481.75907303082187</v>
      </c>
      <c r="O6" s="25">
        <f t="shared" si="6"/>
        <v>262.3284835897436</v>
      </c>
    </row>
    <row r="7" spans="1:15" ht="10.5" customHeight="1">
      <c r="A7" s="4" t="s">
        <v>13</v>
      </c>
      <c r="B7" s="23" t="s">
        <v>26</v>
      </c>
      <c r="C7" s="23" t="s">
        <v>24</v>
      </c>
      <c r="D7" s="23"/>
      <c r="E7" s="16">
        <f>(502261*1.011)+10000+5733</f>
        <v>523518.8709999999</v>
      </c>
      <c r="F7" s="19">
        <f t="shared" si="0"/>
        <v>56091.307607142895</v>
      </c>
      <c r="G7" s="19">
        <f t="shared" si="1"/>
        <v>0</v>
      </c>
      <c r="H7" s="6">
        <f t="shared" si="7"/>
        <v>43626.57258333333</v>
      </c>
      <c r="I7" s="6"/>
      <c r="J7" s="6">
        <v>0</v>
      </c>
      <c r="K7" s="19">
        <f t="shared" si="2"/>
        <v>0</v>
      </c>
      <c r="L7" s="24">
        <f t="shared" si="3"/>
        <v>43626.57258333333</v>
      </c>
      <c r="M7" s="25">
        <f t="shared" si="4"/>
        <v>298.8121409817351</v>
      </c>
      <c r="N7" s="25">
        <f t="shared" si="5"/>
        <v>493.0400326198629</v>
      </c>
      <c r="O7" s="25">
        <f t="shared" si="6"/>
        <v>268.47121589743585</v>
      </c>
    </row>
    <row r="8" spans="1:15" ht="10.5" customHeight="1">
      <c r="A8" s="4" t="s">
        <v>3</v>
      </c>
      <c r="B8" s="23" t="s">
        <v>29</v>
      </c>
      <c r="C8" s="23"/>
      <c r="D8" s="23"/>
      <c r="E8" s="16">
        <f>(514107*1.011)+10000+5733</f>
        <v>535495.1769999999</v>
      </c>
      <c r="F8" s="19">
        <f t="shared" si="0"/>
        <v>57374.48325000005</v>
      </c>
      <c r="G8" s="19">
        <f t="shared" si="1"/>
        <v>0</v>
      </c>
      <c r="H8" s="6">
        <f t="shared" si="7"/>
        <v>44624.59808333332</v>
      </c>
      <c r="I8" s="6"/>
      <c r="J8" s="6">
        <v>0</v>
      </c>
      <c r="K8" s="19">
        <f t="shared" si="2"/>
        <v>0</v>
      </c>
      <c r="L8" s="24">
        <f t="shared" si="3"/>
        <v>44624.59808333332</v>
      </c>
      <c r="M8" s="25">
        <f t="shared" si="4"/>
        <v>305.6479320776255</v>
      </c>
      <c r="N8" s="25">
        <f t="shared" si="5"/>
        <v>504.31908792808207</v>
      </c>
      <c r="O8" s="25">
        <f t="shared" si="6"/>
        <v>274.61291128205124</v>
      </c>
    </row>
    <row r="9" spans="1:15" ht="10.5" customHeight="1">
      <c r="A9" s="4" t="s">
        <v>14</v>
      </c>
      <c r="B9" s="23"/>
      <c r="C9" s="23"/>
      <c r="D9" s="23"/>
      <c r="E9" s="16">
        <f>531739+10000+5733</f>
        <v>547472</v>
      </c>
      <c r="F9" s="19">
        <f t="shared" si="0"/>
        <v>58657.71428571432</v>
      </c>
      <c r="G9" s="19">
        <f t="shared" si="1"/>
        <v>0</v>
      </c>
      <c r="H9" s="6">
        <f t="shared" si="7"/>
        <v>45622.666666666664</v>
      </c>
      <c r="I9" s="6"/>
      <c r="J9" s="6">
        <v>0</v>
      </c>
      <c r="K9" s="19">
        <f t="shared" si="2"/>
        <v>0</v>
      </c>
      <c r="L9" s="24">
        <f t="shared" si="3"/>
        <v>45622.666666666664</v>
      </c>
      <c r="M9" s="25">
        <f t="shared" si="4"/>
        <v>312.4840182648402</v>
      </c>
      <c r="N9" s="25">
        <f t="shared" si="5"/>
        <v>515.5986301369862</v>
      </c>
      <c r="O9" s="25">
        <f t="shared" si="6"/>
        <v>280.7548717948718</v>
      </c>
    </row>
    <row r="10" spans="1:15" ht="10.5" customHeight="1">
      <c r="A10" s="4" t="s">
        <v>15</v>
      </c>
      <c r="B10" s="23"/>
      <c r="C10" s="23"/>
      <c r="D10" s="23"/>
      <c r="E10" s="16">
        <f>543716+10000+5733</f>
        <v>559449</v>
      </c>
      <c r="F10" s="19">
        <f t="shared" si="0"/>
        <v>59940.96428571432</v>
      </c>
      <c r="G10" s="19">
        <f t="shared" si="1"/>
        <v>0</v>
      </c>
      <c r="H10" s="6">
        <f t="shared" si="7"/>
        <v>46620.75</v>
      </c>
      <c r="I10" s="6"/>
      <c r="J10" s="6">
        <v>0</v>
      </c>
      <c r="K10" s="19">
        <f t="shared" si="2"/>
        <v>0</v>
      </c>
      <c r="L10" s="24">
        <f t="shared" si="3"/>
        <v>46620.75</v>
      </c>
      <c r="M10" s="25">
        <f t="shared" si="4"/>
        <v>319.32020547945206</v>
      </c>
      <c r="N10" s="25">
        <f t="shared" si="5"/>
        <v>526.8783390410958</v>
      </c>
      <c r="O10" s="25">
        <f t="shared" si="6"/>
        <v>286.8969230769231</v>
      </c>
    </row>
    <row r="11" spans="1:15" ht="10.5" customHeight="1">
      <c r="A11" s="4" t="s">
        <v>16</v>
      </c>
      <c r="B11" s="23"/>
      <c r="C11" s="23"/>
      <c r="D11" s="23"/>
      <c r="E11" s="16">
        <f>(553330*1.011)+10000+5733</f>
        <v>575149.6299999999</v>
      </c>
      <c r="F11" s="19">
        <f t="shared" si="0"/>
        <v>61623.174642857164</v>
      </c>
      <c r="G11" s="19">
        <f t="shared" si="1"/>
        <v>0</v>
      </c>
      <c r="H11" s="6">
        <f t="shared" si="7"/>
        <v>47929.13583333333</v>
      </c>
      <c r="I11" s="6"/>
      <c r="J11" s="6">
        <v>0</v>
      </c>
      <c r="K11" s="19">
        <f t="shared" si="2"/>
        <v>0</v>
      </c>
      <c r="L11" s="24">
        <f t="shared" si="3"/>
        <v>47929.13583333333</v>
      </c>
      <c r="M11" s="25">
        <f t="shared" si="4"/>
        <v>328.28175228310494</v>
      </c>
      <c r="N11" s="25">
        <f t="shared" si="5"/>
        <v>541.6648912671232</v>
      </c>
      <c r="O11" s="25">
        <f t="shared" si="6"/>
        <v>294.9485282051282</v>
      </c>
    </row>
    <row r="12" spans="1:15" ht="10.5" customHeight="1">
      <c r="A12" s="4" t="s">
        <v>30</v>
      </c>
      <c r="B12" s="23"/>
      <c r="C12" s="23"/>
      <c r="D12" s="23"/>
      <c r="E12" s="16">
        <f>(568330*1.011)+10000+5733</f>
        <v>590314.6299999999</v>
      </c>
      <c r="F12" s="19">
        <f t="shared" si="0"/>
        <v>63247.99607142864</v>
      </c>
      <c r="G12" s="19">
        <f t="shared" si="1"/>
        <v>0</v>
      </c>
      <c r="H12" s="6">
        <f t="shared" si="7"/>
        <v>49192.88583333333</v>
      </c>
      <c r="I12" s="6"/>
      <c r="J12" s="6">
        <v>0</v>
      </c>
      <c r="K12" s="19">
        <f t="shared" si="2"/>
        <v>0</v>
      </c>
      <c r="L12" s="24">
        <f t="shared" si="3"/>
        <v>49192.88583333333</v>
      </c>
      <c r="M12" s="25">
        <f t="shared" si="4"/>
        <v>336.93757420091316</v>
      </c>
      <c r="N12" s="25">
        <f t="shared" si="5"/>
        <v>555.9469974315067</v>
      </c>
      <c r="O12" s="25">
        <f t="shared" si="6"/>
        <v>302.72545128205127</v>
      </c>
    </row>
    <row r="13" spans="1:15" ht="10.5" customHeight="1">
      <c r="A13" s="4"/>
      <c r="B13" s="23"/>
      <c r="C13" s="23"/>
      <c r="D13" s="23"/>
      <c r="E13" s="20"/>
      <c r="F13" s="16"/>
      <c r="G13" s="16"/>
      <c r="H13" s="27"/>
      <c r="I13" s="28"/>
      <c r="J13" s="6"/>
      <c r="K13" s="19"/>
      <c r="L13" s="24"/>
      <c r="M13" s="25"/>
      <c r="N13" s="25"/>
      <c r="O13" s="25"/>
    </row>
    <row r="14" spans="1:15" ht="10.5" customHeight="1">
      <c r="A14" s="4"/>
      <c r="B14" s="23"/>
      <c r="C14" s="23"/>
      <c r="D14" s="23"/>
      <c r="E14" s="20"/>
      <c r="F14" s="16"/>
      <c r="G14" s="16"/>
      <c r="H14" s="27"/>
      <c r="I14" s="28"/>
      <c r="J14" s="6"/>
      <c r="K14" s="19"/>
      <c r="L14" s="24"/>
      <c r="M14" s="25"/>
      <c r="N14" s="25"/>
      <c r="O14" s="25"/>
    </row>
    <row r="15" spans="1:15" ht="10.5" customHeight="1">
      <c r="A15" s="4"/>
      <c r="B15" s="23"/>
      <c r="C15" s="23"/>
      <c r="D15" s="23"/>
      <c r="E15" s="20"/>
      <c r="F15" s="16"/>
      <c r="G15" s="16"/>
      <c r="H15" s="27"/>
      <c r="I15" s="28"/>
      <c r="J15" s="6"/>
      <c r="K15" s="19"/>
      <c r="L15" s="24"/>
      <c r="M15" s="25"/>
      <c r="N15" s="25"/>
      <c r="O15" s="25"/>
    </row>
    <row r="16" spans="1:15" ht="10.5" customHeight="1">
      <c r="A16" s="4"/>
      <c r="B16" s="23"/>
      <c r="C16" s="23"/>
      <c r="D16" s="23"/>
      <c r="E16" s="20"/>
      <c r="F16" s="16"/>
      <c r="G16" s="16"/>
      <c r="H16" s="27"/>
      <c r="I16" s="28"/>
      <c r="J16" s="6"/>
      <c r="K16" s="19"/>
      <c r="L16" s="24"/>
      <c r="M16" s="25"/>
      <c r="N16" s="25"/>
      <c r="O16" s="25"/>
    </row>
    <row r="17" spans="1:15" ht="10.5" customHeight="1">
      <c r="A17" s="4"/>
      <c r="B17" s="23"/>
      <c r="C17" s="23"/>
      <c r="E17" s="20"/>
      <c r="F17" s="16"/>
      <c r="G17" s="16"/>
      <c r="H17" s="27"/>
      <c r="I17" s="28"/>
      <c r="J17" s="6"/>
      <c r="K17" s="19"/>
      <c r="L17" s="24"/>
      <c r="M17" s="25"/>
      <c r="N17" s="25"/>
      <c r="O17" s="25"/>
    </row>
    <row r="18" spans="1:15" ht="10.5" customHeight="1">
      <c r="A18" s="4"/>
      <c r="B18" s="23"/>
      <c r="C18" s="23"/>
      <c r="D18" s="23"/>
      <c r="E18" s="20"/>
      <c r="F18" s="16"/>
      <c r="G18" s="16"/>
      <c r="H18" s="27"/>
      <c r="I18" s="28"/>
      <c r="J18" s="6"/>
      <c r="K18" s="19"/>
      <c r="L18" s="30"/>
      <c r="M18" s="25"/>
      <c r="N18" s="25"/>
      <c r="O18" s="25"/>
    </row>
    <row r="19" spans="3:4" ht="10.5" customHeight="1">
      <c r="C19" s="23"/>
      <c r="D19" s="23"/>
    </row>
    <row r="20" ht="10.5" customHeight="1">
      <c r="A20" s="37"/>
    </row>
    <row r="21" ht="10.5" customHeight="1">
      <c r="A21" s="3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O4" sqref="O4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68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12</v>
      </c>
      <c r="B4" s="23" t="s">
        <v>23</v>
      </c>
      <c r="C4" s="23" t="s">
        <v>20</v>
      </c>
      <c r="D4" s="23" t="s">
        <v>22</v>
      </c>
      <c r="E4" s="16">
        <f>623965+5160+3100+9100+7166+4500+19700+1400+11646</f>
        <v>685737</v>
      </c>
      <c r="F4" s="19">
        <f aca="true" t="shared" si="0" ref="F4:F13">E4-(E4/1.12)</f>
        <v>73471.82142857148</v>
      </c>
      <c r="G4" s="19">
        <f aca="true" t="shared" si="1" ref="G4:G13">J4*132</f>
        <v>0</v>
      </c>
      <c r="H4" s="6">
        <f aca="true" t="shared" si="2" ref="H4:H13">E4/12</f>
        <v>57144.75</v>
      </c>
      <c r="I4" s="6"/>
      <c r="J4" s="6">
        <v>0</v>
      </c>
      <c r="K4" s="19">
        <f aca="true" t="shared" si="3" ref="K4:K13">J4*146</f>
        <v>0</v>
      </c>
      <c r="L4" s="24">
        <f aca="true" t="shared" si="4" ref="L4:L13">(E4-K4)/12</f>
        <v>57144.75</v>
      </c>
      <c r="M4" s="25">
        <f aca="true" t="shared" si="5" ref="M4:M13">E4/1752</f>
        <v>391.402397260274</v>
      </c>
      <c r="N4" s="25">
        <f aca="true" t="shared" si="6" ref="N4:N13">M4*1.65</f>
        <v>645.813955479452</v>
      </c>
      <c r="O4" s="25">
        <f>(E4-(874*146))/1950</f>
        <v>286.22205128205127</v>
      </c>
    </row>
    <row r="5" spans="1:15" ht="10.5" customHeight="1">
      <c r="A5" s="4" t="s">
        <v>13</v>
      </c>
      <c r="B5" s="23"/>
      <c r="C5" s="23" t="s">
        <v>21</v>
      </c>
      <c r="D5" s="23"/>
      <c r="E5" s="16">
        <f>640371+5160+3100+9100+7166+4500+19700+1400+11646</f>
        <v>702143</v>
      </c>
      <c r="F5" s="19">
        <f t="shared" si="0"/>
        <v>75229.60714285716</v>
      </c>
      <c r="G5" s="19">
        <f t="shared" si="1"/>
        <v>0</v>
      </c>
      <c r="H5" s="6">
        <f t="shared" si="2"/>
        <v>58511.916666666664</v>
      </c>
      <c r="I5" s="6"/>
      <c r="J5" s="6">
        <v>0</v>
      </c>
      <c r="K5" s="19">
        <f t="shared" si="3"/>
        <v>0</v>
      </c>
      <c r="L5" s="24">
        <f t="shared" si="4"/>
        <v>58511.916666666664</v>
      </c>
      <c r="M5" s="25">
        <f t="shared" si="5"/>
        <v>400.7665525114155</v>
      </c>
      <c r="N5" s="25">
        <f t="shared" si="6"/>
        <v>661.2648116438355</v>
      </c>
      <c r="O5" s="25">
        <f aca="true" t="shared" si="7" ref="O5:O23">(E5-(874*146))/1950</f>
        <v>294.6353846153846</v>
      </c>
    </row>
    <row r="6" spans="1:15" ht="10.5" customHeight="1">
      <c r="A6" s="4" t="s">
        <v>3</v>
      </c>
      <c r="B6" s="23"/>
      <c r="C6" s="23"/>
      <c r="D6" s="23"/>
      <c r="E6" s="16">
        <f>675745+19700+1400+11646</f>
        <v>708491</v>
      </c>
      <c r="F6" s="19">
        <f t="shared" si="0"/>
        <v>75909.75000000012</v>
      </c>
      <c r="G6" s="19">
        <f t="shared" si="1"/>
        <v>0</v>
      </c>
      <c r="H6" s="6">
        <f t="shared" si="2"/>
        <v>59040.916666666664</v>
      </c>
      <c r="I6" s="6"/>
      <c r="J6" s="6">
        <v>0</v>
      </c>
      <c r="K6" s="19">
        <f t="shared" si="3"/>
        <v>0</v>
      </c>
      <c r="L6" s="24">
        <f t="shared" si="4"/>
        <v>59040.916666666664</v>
      </c>
      <c r="M6" s="25">
        <f t="shared" si="5"/>
        <v>404.3898401826484</v>
      </c>
      <c r="N6" s="25">
        <f t="shared" si="6"/>
        <v>667.2432363013698</v>
      </c>
      <c r="O6" s="25">
        <f t="shared" si="7"/>
        <v>297.89076923076925</v>
      </c>
    </row>
    <row r="7" spans="1:15" ht="10.5" customHeight="1">
      <c r="A7" s="4" t="s">
        <v>14</v>
      </c>
      <c r="B7" s="23" t="s">
        <v>29</v>
      </c>
      <c r="C7" s="23"/>
      <c r="D7" s="23"/>
      <c r="E7" s="16">
        <f>680745+19700+1400+11646</f>
        <v>713491</v>
      </c>
      <c r="F7" s="19">
        <f t="shared" si="0"/>
        <v>76445.46428571432</v>
      </c>
      <c r="G7" s="19">
        <f t="shared" si="1"/>
        <v>0</v>
      </c>
      <c r="H7" s="6">
        <f t="shared" si="2"/>
        <v>59457.583333333336</v>
      </c>
      <c r="I7" s="6"/>
      <c r="J7" s="6">
        <v>0</v>
      </c>
      <c r="K7" s="19">
        <f t="shared" si="3"/>
        <v>0</v>
      </c>
      <c r="L7" s="24">
        <f t="shared" si="4"/>
        <v>59457.583333333336</v>
      </c>
      <c r="M7" s="25">
        <f t="shared" si="5"/>
        <v>407.2437214611872</v>
      </c>
      <c r="N7" s="25">
        <f t="shared" si="6"/>
        <v>671.9521404109588</v>
      </c>
      <c r="O7" s="25">
        <f t="shared" si="7"/>
        <v>300.4548717948718</v>
      </c>
    </row>
    <row r="8" spans="1:15" ht="10.5" customHeight="1">
      <c r="A8" s="4" t="s">
        <v>15</v>
      </c>
      <c r="B8" s="23"/>
      <c r="C8" s="23"/>
      <c r="D8" s="23"/>
      <c r="E8" s="16">
        <f>685745+19700+1400+11646</f>
        <v>718491</v>
      </c>
      <c r="F8" s="19">
        <f t="shared" si="0"/>
        <v>76981.17857142864</v>
      </c>
      <c r="G8" s="19">
        <f t="shared" si="1"/>
        <v>0</v>
      </c>
      <c r="H8" s="6">
        <f t="shared" si="2"/>
        <v>59874.25</v>
      </c>
      <c r="I8" s="6"/>
      <c r="J8" s="6">
        <v>0</v>
      </c>
      <c r="K8" s="19">
        <f t="shared" si="3"/>
        <v>0</v>
      </c>
      <c r="L8" s="24">
        <f t="shared" si="4"/>
        <v>59874.25</v>
      </c>
      <c r="M8" s="25">
        <f t="shared" si="5"/>
        <v>410.097602739726</v>
      </c>
      <c r="N8" s="25">
        <f t="shared" si="6"/>
        <v>676.6610445205479</v>
      </c>
      <c r="O8" s="25">
        <f t="shared" si="7"/>
        <v>303.01897435897433</v>
      </c>
    </row>
    <row r="9" spans="1:15" ht="10.5" customHeight="1">
      <c r="A9" s="4" t="s">
        <v>16</v>
      </c>
      <c r="B9" s="23"/>
      <c r="C9" s="23"/>
      <c r="D9" s="23"/>
      <c r="E9" s="16">
        <f>690745+19700+1400+11646</f>
        <v>723491</v>
      </c>
      <c r="F9" s="19">
        <f t="shared" si="0"/>
        <v>77516.89285714296</v>
      </c>
      <c r="G9" s="19">
        <f t="shared" si="1"/>
        <v>0</v>
      </c>
      <c r="H9" s="6">
        <f t="shared" si="2"/>
        <v>60290.916666666664</v>
      </c>
      <c r="I9" s="6"/>
      <c r="J9" s="6">
        <v>0</v>
      </c>
      <c r="K9" s="19">
        <f t="shared" si="3"/>
        <v>0</v>
      </c>
      <c r="L9" s="24">
        <f t="shared" si="4"/>
        <v>60290.916666666664</v>
      </c>
      <c r="M9" s="25">
        <f t="shared" si="5"/>
        <v>412.95148401826486</v>
      </c>
      <c r="N9" s="25">
        <f t="shared" si="6"/>
        <v>681.369948630137</v>
      </c>
      <c r="O9" s="25">
        <f t="shared" si="7"/>
        <v>305.58307692307693</v>
      </c>
    </row>
    <row r="10" spans="1:15" ht="10.5" customHeight="1">
      <c r="A10" s="4" t="s">
        <v>30</v>
      </c>
      <c r="B10" s="23"/>
      <c r="C10" s="23"/>
      <c r="D10" s="23"/>
      <c r="E10" s="16">
        <f>695745+19700+1400+11646</f>
        <v>728491</v>
      </c>
      <c r="F10" s="19">
        <f t="shared" si="0"/>
        <v>78052.60714285716</v>
      </c>
      <c r="G10" s="19">
        <f t="shared" si="1"/>
        <v>0</v>
      </c>
      <c r="H10" s="6">
        <f t="shared" si="2"/>
        <v>60707.583333333336</v>
      </c>
      <c r="I10" s="6"/>
      <c r="J10" s="6">
        <v>0</v>
      </c>
      <c r="K10" s="19">
        <f t="shared" si="3"/>
        <v>0</v>
      </c>
      <c r="L10" s="24">
        <f t="shared" si="4"/>
        <v>60707.583333333336</v>
      </c>
      <c r="M10" s="25">
        <f t="shared" si="5"/>
        <v>415.80536529680364</v>
      </c>
      <c r="N10" s="25">
        <f t="shared" si="6"/>
        <v>686.078852739726</v>
      </c>
      <c r="O10" s="25">
        <f t="shared" si="7"/>
        <v>308.14717948717947</v>
      </c>
    </row>
    <row r="11" spans="1:15" ht="10.5" customHeight="1">
      <c r="A11" s="4" t="s">
        <v>35</v>
      </c>
      <c r="B11" s="23"/>
      <c r="C11" s="23"/>
      <c r="D11" s="23"/>
      <c r="E11" s="16">
        <f>700745+19700+1400+11646</f>
        <v>733491</v>
      </c>
      <c r="F11" s="19">
        <f t="shared" si="0"/>
        <v>78588.32142857148</v>
      </c>
      <c r="G11" s="19">
        <f t="shared" si="1"/>
        <v>0</v>
      </c>
      <c r="H11" s="6">
        <f t="shared" si="2"/>
        <v>61124.25</v>
      </c>
      <c r="I11" s="6"/>
      <c r="J11" s="6">
        <v>0</v>
      </c>
      <c r="K11" s="19">
        <f t="shared" si="3"/>
        <v>0</v>
      </c>
      <c r="L11" s="24">
        <f t="shared" si="4"/>
        <v>61124.25</v>
      </c>
      <c r="M11" s="25">
        <f t="shared" si="5"/>
        <v>418.6592465753425</v>
      </c>
      <c r="N11" s="25">
        <f t="shared" si="6"/>
        <v>690.7877568493151</v>
      </c>
      <c r="O11" s="25">
        <f t="shared" si="7"/>
        <v>310.71128205128207</v>
      </c>
    </row>
    <row r="12" spans="1:15" ht="10.5" customHeight="1">
      <c r="A12" s="4" t="s">
        <v>60</v>
      </c>
      <c r="B12" s="23"/>
      <c r="C12" s="23"/>
      <c r="D12" s="23"/>
      <c r="E12" s="16">
        <f>705745+19700+1400+11646</f>
        <v>738491</v>
      </c>
      <c r="F12" s="19">
        <f t="shared" si="0"/>
        <v>79124.0357142858</v>
      </c>
      <c r="G12" s="19">
        <f t="shared" si="1"/>
        <v>0</v>
      </c>
      <c r="H12" s="6">
        <f t="shared" si="2"/>
        <v>61540.916666666664</v>
      </c>
      <c r="I12" s="6"/>
      <c r="J12" s="6">
        <v>0</v>
      </c>
      <c r="K12" s="19">
        <f t="shared" si="3"/>
        <v>0</v>
      </c>
      <c r="L12" s="24">
        <f t="shared" si="4"/>
        <v>61540.916666666664</v>
      </c>
      <c r="M12" s="25">
        <f t="shared" si="5"/>
        <v>421.51312785388126</v>
      </c>
      <c r="N12" s="25">
        <f t="shared" si="6"/>
        <v>695.496660958904</v>
      </c>
      <c r="O12" s="25">
        <f t="shared" si="7"/>
        <v>313.2753846153846</v>
      </c>
    </row>
    <row r="13" spans="1:15" ht="10.5" customHeight="1">
      <c r="A13" s="4" t="s">
        <v>63</v>
      </c>
      <c r="B13" s="23"/>
      <c r="C13" s="23"/>
      <c r="D13" s="23"/>
      <c r="E13" s="16">
        <f>706245+4500+19700+1400+11646</f>
        <v>743491</v>
      </c>
      <c r="F13" s="19">
        <f t="shared" si="0"/>
        <v>79659.75000000012</v>
      </c>
      <c r="G13" s="19">
        <f t="shared" si="1"/>
        <v>0</v>
      </c>
      <c r="H13" s="6">
        <f t="shared" si="2"/>
        <v>61957.583333333336</v>
      </c>
      <c r="I13" s="6"/>
      <c r="J13" s="6">
        <v>0</v>
      </c>
      <c r="K13" s="19">
        <f t="shared" si="3"/>
        <v>0</v>
      </c>
      <c r="L13" s="24">
        <f t="shared" si="4"/>
        <v>61957.583333333336</v>
      </c>
      <c r="M13" s="25">
        <f t="shared" si="5"/>
        <v>424.3670091324201</v>
      </c>
      <c r="N13" s="25">
        <f t="shared" si="6"/>
        <v>700.2055650684931</v>
      </c>
      <c r="O13" s="25">
        <f t="shared" si="7"/>
        <v>315.8394871794872</v>
      </c>
    </row>
    <row r="14" spans="1:15" ht="10.5" customHeight="1">
      <c r="A14" s="4"/>
      <c r="B14" s="23"/>
      <c r="C14" s="23"/>
      <c r="D14" s="23"/>
      <c r="E14" s="20"/>
      <c r="F14" s="16"/>
      <c r="G14" s="16"/>
      <c r="H14" s="27"/>
      <c r="I14" s="28"/>
      <c r="J14" s="6"/>
      <c r="K14" s="19"/>
      <c r="L14" s="24"/>
      <c r="M14" s="25"/>
      <c r="N14" s="25"/>
      <c r="O14" s="25"/>
    </row>
    <row r="15" spans="1:19" ht="10.5" customHeight="1">
      <c r="A15" s="4" t="s">
        <v>39</v>
      </c>
      <c r="B15" s="38" t="s">
        <v>37</v>
      </c>
      <c r="C15" s="23" t="s">
        <v>20</v>
      </c>
      <c r="D15" s="23" t="s">
        <v>48</v>
      </c>
      <c r="E15" s="16">
        <f>664342+5160+3100+9100+7166+4500+19700+1400+11646</f>
        <v>726114</v>
      </c>
      <c r="F15" s="19">
        <f aca="true" t="shared" si="8" ref="F15:F22">E15-(E15/1.12)</f>
        <v>77797.92857142864</v>
      </c>
      <c r="G15" s="19">
        <f aca="true" t="shared" si="9" ref="G15:G21">J15*132</f>
        <v>0</v>
      </c>
      <c r="H15" s="6">
        <f aca="true" t="shared" si="10" ref="H15:H22">E15/12</f>
        <v>60509.5</v>
      </c>
      <c r="I15" s="28"/>
      <c r="J15" s="6">
        <v>0</v>
      </c>
      <c r="K15" s="28">
        <f aca="true" t="shared" si="11" ref="K15:K23">892+14+9</f>
        <v>915</v>
      </c>
      <c r="L15" s="19">
        <f aca="true" t="shared" si="12" ref="L15:L20">J15*146</f>
        <v>0</v>
      </c>
      <c r="M15" s="25">
        <f aca="true" t="shared" si="13" ref="M15:M22">E15/1752</f>
        <v>414.4486301369863</v>
      </c>
      <c r="N15" s="25">
        <f aca="true" t="shared" si="14" ref="N15:N22">M15*1.65</f>
        <v>683.8402397260273</v>
      </c>
      <c r="O15" s="25">
        <f t="shared" si="7"/>
        <v>306.92820512820515</v>
      </c>
      <c r="P15" s="25"/>
      <c r="Q15" s="30"/>
      <c r="R15" s="30"/>
      <c r="S15" s="30"/>
    </row>
    <row r="16" spans="1:19" ht="10.5" customHeight="1">
      <c r="A16" s="4" t="s">
        <v>40</v>
      </c>
      <c r="B16" s="23"/>
      <c r="C16" s="23" t="s">
        <v>47</v>
      </c>
      <c r="D16" s="23"/>
      <c r="E16" s="16">
        <f>703562+19700+1400+11646</f>
        <v>736308</v>
      </c>
      <c r="F16" s="19">
        <f>E16-(E16/1.12)</f>
        <v>78890.14285714296</v>
      </c>
      <c r="G16" s="19">
        <f>J16*132</f>
        <v>0</v>
      </c>
      <c r="H16" s="6">
        <f>E16/12</f>
        <v>61359</v>
      </c>
      <c r="I16" s="28"/>
      <c r="J16" s="6">
        <v>0</v>
      </c>
      <c r="K16" s="28">
        <f t="shared" si="11"/>
        <v>915</v>
      </c>
      <c r="L16" s="19">
        <f t="shared" si="12"/>
        <v>0</v>
      </c>
      <c r="M16" s="25">
        <f>E16/1752</f>
        <v>420.2671232876712</v>
      </c>
      <c r="N16" s="25">
        <f>M16*1.65</f>
        <v>693.4407534246575</v>
      </c>
      <c r="O16" s="25">
        <f t="shared" si="7"/>
        <v>312.15589743589743</v>
      </c>
      <c r="P16" s="25"/>
      <c r="Q16" s="30"/>
      <c r="R16" s="30"/>
      <c r="S16" s="30"/>
    </row>
    <row r="17" spans="1:19" ht="10.5" customHeight="1">
      <c r="A17" s="4" t="s">
        <v>41</v>
      </c>
      <c r="B17" s="23"/>
      <c r="C17" s="30"/>
      <c r="D17" s="26"/>
      <c r="E17" s="16">
        <f>708562+19700+1400+11646</f>
        <v>741308</v>
      </c>
      <c r="F17" s="19">
        <f>E17-(E17/1.12)</f>
        <v>79425.85714285716</v>
      </c>
      <c r="G17" s="19">
        <f>J17*132</f>
        <v>0</v>
      </c>
      <c r="H17" s="6">
        <f>E17/12</f>
        <v>61775.666666666664</v>
      </c>
      <c r="I17" s="28"/>
      <c r="J17" s="6">
        <v>0</v>
      </c>
      <c r="K17" s="28">
        <f t="shared" si="11"/>
        <v>915</v>
      </c>
      <c r="L17" s="19">
        <f t="shared" si="12"/>
        <v>0</v>
      </c>
      <c r="M17" s="25">
        <f>E17/1752</f>
        <v>423.12100456621005</v>
      </c>
      <c r="N17" s="25">
        <f>M17*1.65</f>
        <v>698.1496575342466</v>
      </c>
      <c r="O17" s="25">
        <f t="shared" si="7"/>
        <v>314.72</v>
      </c>
      <c r="P17" s="25"/>
      <c r="Q17" s="30"/>
      <c r="R17" s="30"/>
      <c r="S17" s="30"/>
    </row>
    <row r="18" spans="1:19" ht="10.5" customHeight="1">
      <c r="A18" s="4" t="s">
        <v>42</v>
      </c>
      <c r="B18" s="23"/>
      <c r="C18" s="30"/>
      <c r="D18" s="26"/>
      <c r="E18" s="16">
        <f>713562+19700+1400+11646</f>
        <v>746308</v>
      </c>
      <c r="F18" s="19">
        <f>E18-(E18/1.12)</f>
        <v>79961.57142857148</v>
      </c>
      <c r="G18" s="19">
        <f>J18*132</f>
        <v>0</v>
      </c>
      <c r="H18" s="6">
        <f>E18/12</f>
        <v>62192.333333333336</v>
      </c>
      <c r="I18" s="28"/>
      <c r="J18" s="6">
        <v>0</v>
      </c>
      <c r="K18" s="28">
        <f t="shared" si="11"/>
        <v>915</v>
      </c>
      <c r="L18" s="19">
        <f t="shared" si="12"/>
        <v>0</v>
      </c>
      <c r="M18" s="25">
        <f>E18/1752</f>
        <v>425.9748858447489</v>
      </c>
      <c r="N18" s="25">
        <f>M18*1.65</f>
        <v>702.8585616438356</v>
      </c>
      <c r="O18" s="25">
        <f t="shared" si="7"/>
        <v>317.28410256410257</v>
      </c>
      <c r="P18" s="25"/>
      <c r="Q18" s="30"/>
      <c r="R18" s="30"/>
      <c r="S18" s="30"/>
    </row>
    <row r="19" spans="1:19" ht="10.5" customHeight="1">
      <c r="A19" s="4" t="s">
        <v>43</v>
      </c>
      <c r="B19" s="23"/>
      <c r="C19" s="30"/>
      <c r="D19" s="26"/>
      <c r="E19" s="16">
        <f>718562+19700+1400+11646</f>
        <v>751308</v>
      </c>
      <c r="F19" s="19">
        <f>E19-(E19/1.12)</f>
        <v>80497.2857142858</v>
      </c>
      <c r="G19" s="19">
        <f>J19*132</f>
        <v>0</v>
      </c>
      <c r="H19" s="6">
        <f>E19/12</f>
        <v>62609</v>
      </c>
      <c r="I19" s="28"/>
      <c r="J19" s="6">
        <v>0</v>
      </c>
      <c r="K19" s="28">
        <f t="shared" si="11"/>
        <v>915</v>
      </c>
      <c r="L19" s="19">
        <f t="shared" si="12"/>
        <v>0</v>
      </c>
      <c r="M19" s="25">
        <f>E19/1752</f>
        <v>428.82876712328766</v>
      </c>
      <c r="N19" s="25">
        <f>M19*1.65</f>
        <v>707.5674657534246</v>
      </c>
      <c r="O19" s="25">
        <f t="shared" si="7"/>
        <v>319.8482051282051</v>
      </c>
      <c r="P19" s="25"/>
      <c r="Q19" s="30"/>
      <c r="R19" s="30"/>
      <c r="S19" s="30"/>
    </row>
    <row r="20" spans="1:19" ht="10.5" customHeight="1">
      <c r="A20" s="4" t="s">
        <v>44</v>
      </c>
      <c r="B20" s="23"/>
      <c r="C20" s="30"/>
      <c r="D20" s="26"/>
      <c r="E20" s="16">
        <f>723562+19700+1400+11646</f>
        <v>756308</v>
      </c>
      <c r="F20" s="19">
        <f t="shared" si="8"/>
        <v>81033.00000000012</v>
      </c>
      <c r="G20" s="19">
        <f t="shared" si="9"/>
        <v>0</v>
      </c>
      <c r="H20" s="6">
        <f t="shared" si="10"/>
        <v>63025.666666666664</v>
      </c>
      <c r="I20" s="28"/>
      <c r="J20" s="6">
        <v>0</v>
      </c>
      <c r="K20" s="28">
        <f t="shared" si="11"/>
        <v>915</v>
      </c>
      <c r="L20" s="19">
        <f t="shared" si="12"/>
        <v>0</v>
      </c>
      <c r="M20" s="25">
        <f t="shared" si="13"/>
        <v>431.6826484018265</v>
      </c>
      <c r="N20" s="25">
        <f t="shared" si="14"/>
        <v>712.2763698630137</v>
      </c>
      <c r="O20" s="25">
        <f t="shared" si="7"/>
        <v>322.4123076923077</v>
      </c>
      <c r="P20" s="25"/>
      <c r="Q20" s="30"/>
      <c r="R20" s="30"/>
      <c r="S20" s="30"/>
    </row>
    <row r="21" spans="1:19" ht="10.5" customHeight="1">
      <c r="A21" s="4" t="s">
        <v>45</v>
      </c>
      <c r="B21" s="23"/>
      <c r="C21" s="30"/>
      <c r="D21" s="26"/>
      <c r="E21" s="16">
        <f>728562+19700+1400+11646</f>
        <v>761308</v>
      </c>
      <c r="F21" s="19">
        <f t="shared" si="8"/>
        <v>81568.71428571432</v>
      </c>
      <c r="G21" s="19">
        <f t="shared" si="9"/>
        <v>0</v>
      </c>
      <c r="H21" s="6">
        <f t="shared" si="10"/>
        <v>63442.333333333336</v>
      </c>
      <c r="I21" s="28"/>
      <c r="J21" s="6">
        <v>0</v>
      </c>
      <c r="K21" s="28">
        <f t="shared" si="11"/>
        <v>915</v>
      </c>
      <c r="L21" s="19"/>
      <c r="M21" s="25">
        <f t="shared" si="13"/>
        <v>434.5365296803653</v>
      </c>
      <c r="N21" s="25">
        <f t="shared" si="14"/>
        <v>716.9852739726026</v>
      </c>
      <c r="O21" s="25">
        <f t="shared" si="7"/>
        <v>324.97641025641025</v>
      </c>
      <c r="P21" s="25"/>
      <c r="Q21" s="30"/>
      <c r="R21" s="30"/>
      <c r="S21" s="30"/>
    </row>
    <row r="22" spans="1:19" ht="10.5" customHeight="1">
      <c r="A22" s="4" t="s">
        <v>46</v>
      </c>
      <c r="B22" s="23"/>
      <c r="C22" s="30"/>
      <c r="D22" s="26"/>
      <c r="E22" s="16">
        <f>733562+19700+1400+11646</f>
        <v>766308</v>
      </c>
      <c r="F22" s="19">
        <f t="shared" si="8"/>
        <v>82104.42857142864</v>
      </c>
      <c r="G22" s="19">
        <f>J22*132</f>
        <v>0</v>
      </c>
      <c r="H22" s="6">
        <f t="shared" si="10"/>
        <v>63859</v>
      </c>
      <c r="I22" s="28"/>
      <c r="J22" s="6">
        <v>0</v>
      </c>
      <c r="K22" s="28">
        <f t="shared" si="11"/>
        <v>915</v>
      </c>
      <c r="L22" s="19"/>
      <c r="M22" s="25">
        <f t="shared" si="13"/>
        <v>437.3904109589041</v>
      </c>
      <c r="N22" s="25">
        <f t="shared" si="14"/>
        <v>721.6941780821918</v>
      </c>
      <c r="O22" s="25">
        <f t="shared" si="7"/>
        <v>327.54051282051284</v>
      </c>
      <c r="P22" s="25"/>
      <c r="Q22" s="30"/>
      <c r="R22" s="30"/>
      <c r="S22" s="30"/>
    </row>
    <row r="23" spans="1:19" ht="10.5" customHeight="1">
      <c r="A23" s="4" t="s">
        <v>64</v>
      </c>
      <c r="B23" s="23"/>
      <c r="C23" s="30"/>
      <c r="D23" s="26"/>
      <c r="E23" s="16">
        <f>738562+19700+1400+11646</f>
        <v>771308</v>
      </c>
      <c r="F23" s="19">
        <f>E23-(E23/1.12)</f>
        <v>82640.14285714296</v>
      </c>
      <c r="G23" s="19">
        <f>J23*132</f>
        <v>0</v>
      </c>
      <c r="H23" s="6">
        <f>E23/12</f>
        <v>64275.666666666664</v>
      </c>
      <c r="I23" s="28"/>
      <c r="J23" s="6">
        <v>0</v>
      </c>
      <c r="K23" s="28">
        <f t="shared" si="11"/>
        <v>915</v>
      </c>
      <c r="L23" s="19"/>
      <c r="M23" s="25">
        <f>E23/1752</f>
        <v>440.24429223744295</v>
      </c>
      <c r="N23" s="25">
        <f>M23*1.65</f>
        <v>726.4030821917809</v>
      </c>
      <c r="O23" s="25">
        <f t="shared" si="7"/>
        <v>330.1046153846154</v>
      </c>
      <c r="P23" s="25"/>
      <c r="Q23" s="30"/>
      <c r="R23" s="30"/>
      <c r="S23" s="30"/>
    </row>
    <row r="26" spans="1:4" ht="12" customHeight="1">
      <c r="A26" s="39" t="s">
        <v>69</v>
      </c>
      <c r="B26" s="40" t="s">
        <v>70</v>
      </c>
      <c r="C26" s="40" t="s">
        <v>71</v>
      </c>
      <c r="D26" s="40" t="s">
        <v>72</v>
      </c>
    </row>
    <row r="27" spans="1:4" ht="12" customHeight="1">
      <c r="A27" s="39" t="s">
        <v>69</v>
      </c>
      <c r="B27" s="40"/>
      <c r="C27" s="40" t="s">
        <v>73</v>
      </c>
      <c r="D27" s="40" t="s">
        <v>74</v>
      </c>
    </row>
    <row r="28" spans="1:4" ht="12" customHeight="1">
      <c r="A28" s="39" t="s">
        <v>69</v>
      </c>
      <c r="B28" s="40"/>
      <c r="C28" s="40" t="s">
        <v>20</v>
      </c>
      <c r="D28" s="40" t="s">
        <v>48</v>
      </c>
    </row>
    <row r="29" spans="1:4" ht="12" customHeight="1">
      <c r="A29" s="39"/>
      <c r="B29" s="40"/>
      <c r="C29" s="40" t="s">
        <v>47</v>
      </c>
      <c r="D29" s="41"/>
    </row>
    <row r="30" spans="1:4" ht="12" customHeight="1">
      <c r="A30" s="39"/>
      <c r="B30" s="40"/>
      <c r="C30" s="40" t="s">
        <v>75</v>
      </c>
      <c r="D30" s="40" t="s">
        <v>76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77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12</v>
      </c>
      <c r="B4" s="23" t="s">
        <v>23</v>
      </c>
      <c r="C4" s="23" t="s">
        <v>20</v>
      </c>
      <c r="D4" s="23" t="s">
        <v>22</v>
      </c>
      <c r="E4" s="16">
        <f>623965+5160+3100+9100+7166+4500+19700+1400+11646+19500</f>
        <v>705237</v>
      </c>
      <c r="F4" s="19">
        <f aca="true" t="shared" si="0" ref="F4:F13">E4-(E4/1.12)</f>
        <v>75561.10714285716</v>
      </c>
      <c r="G4" s="19">
        <f aca="true" t="shared" si="1" ref="G4:G13">J4*132</f>
        <v>0</v>
      </c>
      <c r="H4" s="6">
        <f aca="true" t="shared" si="2" ref="H4:H13">E4/12</f>
        <v>58769.75</v>
      </c>
      <c r="I4" s="6"/>
      <c r="J4" s="6">
        <v>0</v>
      </c>
      <c r="K4" s="19">
        <f aca="true" t="shared" si="3" ref="K4:K13">J4*146</f>
        <v>0</v>
      </c>
      <c r="L4" s="24">
        <f aca="true" t="shared" si="4" ref="L4:L13">(E4-K4)/12</f>
        <v>58769.75</v>
      </c>
      <c r="M4" s="25">
        <f aca="true" t="shared" si="5" ref="M4:M13">E4/1752</f>
        <v>402.5325342465753</v>
      </c>
      <c r="N4" s="25">
        <f aca="true" t="shared" si="6" ref="N4:N13">M4*1.65</f>
        <v>664.1786815068492</v>
      </c>
      <c r="O4" s="25">
        <f>(E4-(901*146))/1950</f>
        <v>294.2005128205128</v>
      </c>
    </row>
    <row r="5" spans="1:15" ht="10.5" customHeight="1">
      <c r="A5" s="4" t="s">
        <v>13</v>
      </c>
      <c r="B5" s="23"/>
      <c r="C5" s="23" t="s">
        <v>21</v>
      </c>
      <c r="D5" s="23"/>
      <c r="E5" s="16">
        <f>640371+5160+3100+9100+7166+4500+19700+1400+11646+19500</f>
        <v>721643</v>
      </c>
      <c r="F5" s="19">
        <f t="shared" si="0"/>
        <v>77318.89285714296</v>
      </c>
      <c r="G5" s="19">
        <f t="shared" si="1"/>
        <v>0</v>
      </c>
      <c r="H5" s="6">
        <f t="shared" si="2"/>
        <v>60136.916666666664</v>
      </c>
      <c r="I5" s="6"/>
      <c r="J5" s="6">
        <v>0</v>
      </c>
      <c r="K5" s="19">
        <f t="shared" si="3"/>
        <v>0</v>
      </c>
      <c r="L5" s="24">
        <f t="shared" si="4"/>
        <v>60136.916666666664</v>
      </c>
      <c r="M5" s="25">
        <f t="shared" si="5"/>
        <v>411.8966894977169</v>
      </c>
      <c r="N5" s="25">
        <f t="shared" si="6"/>
        <v>679.6295376712329</v>
      </c>
      <c r="O5" s="25">
        <f aca="true" t="shared" si="7" ref="O5:O23">(E5-(901*146))/1950</f>
        <v>302.61384615384617</v>
      </c>
    </row>
    <row r="6" spans="1:15" ht="10.5" customHeight="1">
      <c r="A6" s="4" t="s">
        <v>3</v>
      </c>
      <c r="B6" s="23"/>
      <c r="C6" s="23"/>
      <c r="D6" s="23"/>
      <c r="E6" s="16">
        <f>675745+19700+1400+11646+19500</f>
        <v>727991</v>
      </c>
      <c r="F6" s="19">
        <f t="shared" si="0"/>
        <v>77999.0357142858</v>
      </c>
      <c r="G6" s="19">
        <f t="shared" si="1"/>
        <v>0</v>
      </c>
      <c r="H6" s="6">
        <f t="shared" si="2"/>
        <v>60665.916666666664</v>
      </c>
      <c r="I6" s="6"/>
      <c r="J6" s="6">
        <v>0</v>
      </c>
      <c r="K6" s="19">
        <f t="shared" si="3"/>
        <v>0</v>
      </c>
      <c r="L6" s="24">
        <f t="shared" si="4"/>
        <v>60665.916666666664</v>
      </c>
      <c r="M6" s="25">
        <f t="shared" si="5"/>
        <v>415.51997716894977</v>
      </c>
      <c r="N6" s="25">
        <f t="shared" si="6"/>
        <v>685.607962328767</v>
      </c>
      <c r="O6" s="25">
        <f t="shared" si="7"/>
        <v>305.8692307692308</v>
      </c>
    </row>
    <row r="7" spans="1:15" ht="10.5" customHeight="1">
      <c r="A7" s="4" t="s">
        <v>14</v>
      </c>
      <c r="B7" s="23" t="s">
        <v>29</v>
      </c>
      <c r="C7" s="23"/>
      <c r="D7" s="23"/>
      <c r="E7" s="16">
        <f>680745+19700+1400+11646+19500</f>
        <v>732991</v>
      </c>
      <c r="F7" s="19">
        <f t="shared" si="0"/>
        <v>78534.75000000012</v>
      </c>
      <c r="G7" s="19">
        <f t="shared" si="1"/>
        <v>0</v>
      </c>
      <c r="H7" s="6">
        <f t="shared" si="2"/>
        <v>61082.583333333336</v>
      </c>
      <c r="I7" s="6"/>
      <c r="J7" s="6">
        <v>0</v>
      </c>
      <c r="K7" s="19">
        <f t="shared" si="3"/>
        <v>0</v>
      </c>
      <c r="L7" s="24">
        <f t="shared" si="4"/>
        <v>61082.583333333336</v>
      </c>
      <c r="M7" s="25">
        <f t="shared" si="5"/>
        <v>418.3738584474886</v>
      </c>
      <c r="N7" s="25">
        <f t="shared" si="6"/>
        <v>690.3168664383561</v>
      </c>
      <c r="O7" s="25">
        <f t="shared" si="7"/>
        <v>308.43333333333334</v>
      </c>
    </row>
    <row r="8" spans="1:15" ht="10.5" customHeight="1">
      <c r="A8" s="4" t="s">
        <v>15</v>
      </c>
      <c r="B8" s="23"/>
      <c r="C8" s="23"/>
      <c r="D8" s="23"/>
      <c r="E8" s="16">
        <f>685745+19700+1400+11646+19500</f>
        <v>737991</v>
      </c>
      <c r="F8" s="19">
        <f t="shared" si="0"/>
        <v>79070.46428571432</v>
      </c>
      <c r="G8" s="19">
        <f t="shared" si="1"/>
        <v>0</v>
      </c>
      <c r="H8" s="6">
        <f t="shared" si="2"/>
        <v>61499.25</v>
      </c>
      <c r="I8" s="6"/>
      <c r="J8" s="6">
        <v>0</v>
      </c>
      <c r="K8" s="19">
        <f t="shared" si="3"/>
        <v>0</v>
      </c>
      <c r="L8" s="24">
        <f t="shared" si="4"/>
        <v>61499.25</v>
      </c>
      <c r="M8" s="25">
        <f t="shared" si="5"/>
        <v>421.2277397260274</v>
      </c>
      <c r="N8" s="25">
        <f t="shared" si="6"/>
        <v>695.0257705479452</v>
      </c>
      <c r="O8" s="25">
        <f t="shared" si="7"/>
        <v>310.9974358974359</v>
      </c>
    </row>
    <row r="9" spans="1:15" ht="10.5" customHeight="1">
      <c r="A9" s="4" t="s">
        <v>16</v>
      </c>
      <c r="B9" s="23"/>
      <c r="C9" s="23"/>
      <c r="D9" s="23"/>
      <c r="E9" s="16">
        <f>690745+19700+1400+11646+19500</f>
        <v>742991</v>
      </c>
      <c r="F9" s="19">
        <f t="shared" si="0"/>
        <v>79606.17857142864</v>
      </c>
      <c r="G9" s="19">
        <f t="shared" si="1"/>
        <v>0</v>
      </c>
      <c r="H9" s="6">
        <f t="shared" si="2"/>
        <v>61915.916666666664</v>
      </c>
      <c r="I9" s="6"/>
      <c r="J9" s="6">
        <v>0</v>
      </c>
      <c r="K9" s="19">
        <f t="shared" si="3"/>
        <v>0</v>
      </c>
      <c r="L9" s="24">
        <f t="shared" si="4"/>
        <v>61915.916666666664</v>
      </c>
      <c r="M9" s="25">
        <f t="shared" si="5"/>
        <v>424.0816210045662</v>
      </c>
      <c r="N9" s="25">
        <f t="shared" si="6"/>
        <v>699.7346746575342</v>
      </c>
      <c r="O9" s="25">
        <f t="shared" si="7"/>
        <v>313.5615384615385</v>
      </c>
    </row>
    <row r="10" spans="1:15" ht="10.5" customHeight="1">
      <c r="A10" s="4" t="s">
        <v>30</v>
      </c>
      <c r="B10" s="23"/>
      <c r="C10" s="23"/>
      <c r="D10" s="23"/>
      <c r="E10" s="16">
        <f>695745+19700+1400+11646+19500</f>
        <v>747991</v>
      </c>
      <c r="F10" s="19">
        <f t="shared" si="0"/>
        <v>80141.89285714296</v>
      </c>
      <c r="G10" s="19">
        <f t="shared" si="1"/>
        <v>0</v>
      </c>
      <c r="H10" s="6">
        <f t="shared" si="2"/>
        <v>62332.583333333336</v>
      </c>
      <c r="I10" s="6"/>
      <c r="J10" s="6">
        <v>0</v>
      </c>
      <c r="K10" s="19">
        <f t="shared" si="3"/>
        <v>0</v>
      </c>
      <c r="L10" s="24">
        <f t="shared" si="4"/>
        <v>62332.583333333336</v>
      </c>
      <c r="M10" s="25">
        <f t="shared" si="5"/>
        <v>426.935502283105</v>
      </c>
      <c r="N10" s="25">
        <f t="shared" si="6"/>
        <v>704.4435787671232</v>
      </c>
      <c r="O10" s="25">
        <f t="shared" si="7"/>
        <v>316.125641025641</v>
      </c>
    </row>
    <row r="11" spans="1:15" ht="10.5" customHeight="1">
      <c r="A11" s="4" t="s">
        <v>35</v>
      </c>
      <c r="B11" s="23"/>
      <c r="C11" s="23"/>
      <c r="D11" s="23"/>
      <c r="E11" s="16">
        <f>700745+19700+1400+11646+19500</f>
        <v>752991</v>
      </c>
      <c r="F11" s="19">
        <f t="shared" si="0"/>
        <v>80677.60714285716</v>
      </c>
      <c r="G11" s="19">
        <f t="shared" si="1"/>
        <v>0</v>
      </c>
      <c r="H11" s="6">
        <f t="shared" si="2"/>
        <v>62749.25</v>
      </c>
      <c r="I11" s="6"/>
      <c r="J11" s="6">
        <v>0</v>
      </c>
      <c r="K11" s="19">
        <f t="shared" si="3"/>
        <v>0</v>
      </c>
      <c r="L11" s="24">
        <f t="shared" si="4"/>
        <v>62749.25</v>
      </c>
      <c r="M11" s="25">
        <f t="shared" si="5"/>
        <v>429.78938356164383</v>
      </c>
      <c r="N11" s="25">
        <f t="shared" si="6"/>
        <v>709.1524828767123</v>
      </c>
      <c r="O11" s="25">
        <f t="shared" si="7"/>
        <v>318.6897435897436</v>
      </c>
    </row>
    <row r="12" spans="1:15" ht="10.5" customHeight="1">
      <c r="A12" s="4" t="s">
        <v>60</v>
      </c>
      <c r="B12" s="23"/>
      <c r="C12" s="23"/>
      <c r="D12" s="23"/>
      <c r="E12" s="16">
        <f>705745+19700+1400+11646+19500</f>
        <v>757991</v>
      </c>
      <c r="F12" s="19">
        <f t="shared" si="0"/>
        <v>81213.32142857148</v>
      </c>
      <c r="G12" s="19">
        <f t="shared" si="1"/>
        <v>0</v>
      </c>
      <c r="H12" s="6">
        <f t="shared" si="2"/>
        <v>63165.916666666664</v>
      </c>
      <c r="I12" s="6"/>
      <c r="J12" s="6">
        <v>0</v>
      </c>
      <c r="K12" s="19">
        <f t="shared" si="3"/>
        <v>0</v>
      </c>
      <c r="L12" s="24">
        <f t="shared" si="4"/>
        <v>63165.916666666664</v>
      </c>
      <c r="M12" s="25">
        <f t="shared" si="5"/>
        <v>432.64326484018267</v>
      </c>
      <c r="N12" s="25">
        <f t="shared" si="6"/>
        <v>713.8613869863013</v>
      </c>
      <c r="O12" s="25">
        <f t="shared" si="7"/>
        <v>321.25384615384615</v>
      </c>
    </row>
    <row r="13" spans="1:15" ht="10.5" customHeight="1">
      <c r="A13" s="4" t="s">
        <v>63</v>
      </c>
      <c r="B13" s="23"/>
      <c r="C13" s="23"/>
      <c r="D13" s="23"/>
      <c r="E13" s="16">
        <f>706245+4500+19700+1400+11646+19500</f>
        <v>762991</v>
      </c>
      <c r="F13" s="19">
        <f t="shared" si="0"/>
        <v>81749.0357142858</v>
      </c>
      <c r="G13" s="19">
        <f t="shared" si="1"/>
        <v>0</v>
      </c>
      <c r="H13" s="6">
        <f t="shared" si="2"/>
        <v>63582.583333333336</v>
      </c>
      <c r="I13" s="6"/>
      <c r="J13" s="6">
        <v>0</v>
      </c>
      <c r="K13" s="19">
        <f t="shared" si="3"/>
        <v>0</v>
      </c>
      <c r="L13" s="24">
        <f t="shared" si="4"/>
        <v>63582.583333333336</v>
      </c>
      <c r="M13" s="25">
        <f t="shared" si="5"/>
        <v>435.49714611872145</v>
      </c>
      <c r="N13" s="25">
        <f t="shared" si="6"/>
        <v>718.5702910958903</v>
      </c>
      <c r="O13" s="25">
        <f t="shared" si="7"/>
        <v>323.8179487179487</v>
      </c>
    </row>
    <row r="14" spans="1:15" ht="10.5" customHeight="1">
      <c r="A14" s="4"/>
      <c r="B14" s="23"/>
      <c r="C14" s="23"/>
      <c r="D14" s="23"/>
      <c r="E14" s="20"/>
      <c r="F14" s="16"/>
      <c r="G14" s="16"/>
      <c r="H14" s="27"/>
      <c r="I14" s="28"/>
      <c r="J14" s="6"/>
      <c r="K14" s="19"/>
      <c r="L14" s="24"/>
      <c r="M14" s="25"/>
      <c r="N14" s="25"/>
      <c r="O14" s="25"/>
    </row>
    <row r="15" spans="1:19" ht="10.5" customHeight="1">
      <c r="A15" s="4" t="s">
        <v>39</v>
      </c>
      <c r="B15" s="38" t="s">
        <v>37</v>
      </c>
      <c r="C15" s="23" t="s">
        <v>20</v>
      </c>
      <c r="D15" s="23" t="s">
        <v>48</v>
      </c>
      <c r="E15" s="16">
        <f>664342+5160+3100+9100+7166+4500+19700+1400+11646+19500</f>
        <v>745614</v>
      </c>
      <c r="F15" s="19">
        <f aca="true" t="shared" si="8" ref="F15:F22">E15-(E15/1.12)</f>
        <v>79887.21428571432</v>
      </c>
      <c r="G15" s="19">
        <f aca="true" t="shared" si="9" ref="G15:G21">J15*132</f>
        <v>0</v>
      </c>
      <c r="H15" s="6">
        <f aca="true" t="shared" si="10" ref="H15:H22">E15/12</f>
        <v>62134.5</v>
      </c>
      <c r="I15" s="28"/>
      <c r="J15" s="6">
        <v>0</v>
      </c>
      <c r="K15" s="28">
        <f aca="true" t="shared" si="11" ref="K15:K23">892+14+9</f>
        <v>915</v>
      </c>
      <c r="L15" s="19">
        <f aca="true" t="shared" si="12" ref="L15:L20">J15*146</f>
        <v>0</v>
      </c>
      <c r="M15" s="25">
        <f aca="true" t="shared" si="13" ref="M15:M22">E15/1752</f>
        <v>425.57876712328766</v>
      </c>
      <c r="N15" s="25">
        <f aca="true" t="shared" si="14" ref="N15:N22">M15*1.65</f>
        <v>702.2049657534246</v>
      </c>
      <c r="O15" s="25">
        <f t="shared" si="7"/>
        <v>314.9066666666667</v>
      </c>
      <c r="P15" s="25"/>
      <c r="Q15" s="30"/>
      <c r="R15" s="30"/>
      <c r="S15" s="30"/>
    </row>
    <row r="16" spans="1:19" ht="10.5" customHeight="1">
      <c r="A16" s="4" t="s">
        <v>40</v>
      </c>
      <c r="B16" s="23"/>
      <c r="C16" s="23" t="s">
        <v>47</v>
      </c>
      <c r="D16" s="23"/>
      <c r="E16" s="16">
        <f>703562+19700+1400+11646+19500</f>
        <v>755808</v>
      </c>
      <c r="F16" s="19">
        <f>E16-(E16/1.12)</f>
        <v>80979.42857142864</v>
      </c>
      <c r="G16" s="19">
        <f>J16*132</f>
        <v>0</v>
      </c>
      <c r="H16" s="6">
        <f>E16/12</f>
        <v>62984</v>
      </c>
      <c r="I16" s="28"/>
      <c r="J16" s="6">
        <v>0</v>
      </c>
      <c r="K16" s="28">
        <f t="shared" si="11"/>
        <v>915</v>
      </c>
      <c r="L16" s="19">
        <f t="shared" si="12"/>
        <v>0</v>
      </c>
      <c r="M16" s="25">
        <f>E16/1752</f>
        <v>431.3972602739726</v>
      </c>
      <c r="N16" s="25">
        <f>M16*1.65</f>
        <v>711.8054794520548</v>
      </c>
      <c r="O16" s="25">
        <f t="shared" si="7"/>
        <v>320.134358974359</v>
      </c>
      <c r="P16" s="25"/>
      <c r="Q16" s="30"/>
      <c r="R16" s="30"/>
      <c r="S16" s="30"/>
    </row>
    <row r="17" spans="1:19" ht="10.5" customHeight="1">
      <c r="A17" s="4" t="s">
        <v>41</v>
      </c>
      <c r="B17" s="23"/>
      <c r="C17" s="30"/>
      <c r="D17" s="26"/>
      <c r="E17" s="16">
        <f>708562+19700+1400+11646+19500</f>
        <v>760808</v>
      </c>
      <c r="F17" s="19">
        <f>E17-(E17/1.12)</f>
        <v>81515.14285714296</v>
      </c>
      <c r="G17" s="19">
        <f>J17*132</f>
        <v>0</v>
      </c>
      <c r="H17" s="6">
        <f>E17/12</f>
        <v>63400.666666666664</v>
      </c>
      <c r="I17" s="28"/>
      <c r="J17" s="6">
        <v>0</v>
      </c>
      <c r="K17" s="28">
        <f t="shared" si="11"/>
        <v>915</v>
      </c>
      <c r="L17" s="19">
        <f t="shared" si="12"/>
        <v>0</v>
      </c>
      <c r="M17" s="25">
        <f>E17/1752</f>
        <v>434.2511415525114</v>
      </c>
      <c r="N17" s="25">
        <f>M17*1.65</f>
        <v>716.5143835616437</v>
      </c>
      <c r="O17" s="25">
        <f t="shared" si="7"/>
        <v>322.6984615384615</v>
      </c>
      <c r="P17" s="25"/>
      <c r="Q17" s="30"/>
      <c r="R17" s="30"/>
      <c r="S17" s="30"/>
    </row>
    <row r="18" spans="1:19" ht="10.5" customHeight="1">
      <c r="A18" s="4" t="s">
        <v>42</v>
      </c>
      <c r="B18" s="23"/>
      <c r="C18" s="30"/>
      <c r="D18" s="26"/>
      <c r="E18" s="16">
        <f>713562+19700+1400+11646+19500</f>
        <v>765808</v>
      </c>
      <c r="F18" s="19">
        <f>E18-(E18/1.12)</f>
        <v>82050.85714285716</v>
      </c>
      <c r="G18" s="19">
        <f>J18*132</f>
        <v>0</v>
      </c>
      <c r="H18" s="6">
        <f>E18/12</f>
        <v>63817.333333333336</v>
      </c>
      <c r="I18" s="28"/>
      <c r="J18" s="6">
        <v>0</v>
      </c>
      <c r="K18" s="28">
        <f t="shared" si="11"/>
        <v>915</v>
      </c>
      <c r="L18" s="19">
        <f t="shared" si="12"/>
        <v>0</v>
      </c>
      <c r="M18" s="25">
        <f>E18/1752</f>
        <v>437.10502283105023</v>
      </c>
      <c r="N18" s="25">
        <f>M18*1.65</f>
        <v>721.2232876712328</v>
      </c>
      <c r="O18" s="25">
        <f t="shared" si="7"/>
        <v>325.2625641025641</v>
      </c>
      <c r="P18" s="25"/>
      <c r="Q18" s="30"/>
      <c r="R18" s="30"/>
      <c r="S18" s="30"/>
    </row>
    <row r="19" spans="1:19" ht="10.5" customHeight="1">
      <c r="A19" s="4" t="s">
        <v>43</v>
      </c>
      <c r="B19" s="23"/>
      <c r="C19" s="30"/>
      <c r="D19" s="26"/>
      <c r="E19" s="16">
        <f>718562+19700+1400+11646+19500</f>
        <v>770808</v>
      </c>
      <c r="F19" s="19">
        <f>E19-(E19/1.12)</f>
        <v>82586.57142857148</v>
      </c>
      <c r="G19" s="19">
        <f>J19*132</f>
        <v>0</v>
      </c>
      <c r="H19" s="6">
        <f>E19/12</f>
        <v>64234</v>
      </c>
      <c r="I19" s="28"/>
      <c r="J19" s="6">
        <v>0</v>
      </c>
      <c r="K19" s="28">
        <f t="shared" si="11"/>
        <v>915</v>
      </c>
      <c r="L19" s="19">
        <f t="shared" si="12"/>
        <v>0</v>
      </c>
      <c r="M19" s="25">
        <f>E19/1752</f>
        <v>439.958904109589</v>
      </c>
      <c r="N19" s="25">
        <f>M19*1.65</f>
        <v>725.9321917808219</v>
      </c>
      <c r="O19" s="25">
        <f t="shared" si="7"/>
        <v>327.82666666666665</v>
      </c>
      <c r="P19" s="25"/>
      <c r="Q19" s="30"/>
      <c r="R19" s="30"/>
      <c r="S19" s="30"/>
    </row>
    <row r="20" spans="1:19" ht="10.5" customHeight="1">
      <c r="A20" s="4" t="s">
        <v>44</v>
      </c>
      <c r="B20" s="23"/>
      <c r="C20" s="30"/>
      <c r="D20" s="26"/>
      <c r="E20" s="16">
        <f>723562+19700+1400+11646+19500</f>
        <v>775808</v>
      </c>
      <c r="F20" s="19">
        <f t="shared" si="8"/>
        <v>83122.2857142858</v>
      </c>
      <c r="G20" s="19">
        <f t="shared" si="9"/>
        <v>0</v>
      </c>
      <c r="H20" s="6">
        <f t="shared" si="10"/>
        <v>64650.666666666664</v>
      </c>
      <c r="I20" s="28"/>
      <c r="J20" s="6">
        <v>0</v>
      </c>
      <c r="K20" s="28">
        <f t="shared" si="11"/>
        <v>915</v>
      </c>
      <c r="L20" s="19">
        <f t="shared" si="12"/>
        <v>0</v>
      </c>
      <c r="M20" s="25">
        <f t="shared" si="13"/>
        <v>442.81278538812785</v>
      </c>
      <c r="N20" s="25">
        <f t="shared" si="14"/>
        <v>730.641095890411</v>
      </c>
      <c r="O20" s="25">
        <f t="shared" si="7"/>
        <v>330.39076923076925</v>
      </c>
      <c r="P20" s="25"/>
      <c r="Q20" s="30"/>
      <c r="R20" s="30"/>
      <c r="S20" s="30"/>
    </row>
    <row r="21" spans="1:19" ht="10.5" customHeight="1">
      <c r="A21" s="4" t="s">
        <v>45</v>
      </c>
      <c r="B21" s="23"/>
      <c r="C21" s="30"/>
      <c r="D21" s="26"/>
      <c r="E21" s="16">
        <f>728562+19700+1400+11646+19500</f>
        <v>780808</v>
      </c>
      <c r="F21" s="19">
        <f t="shared" si="8"/>
        <v>83658.00000000012</v>
      </c>
      <c r="G21" s="19">
        <f t="shared" si="9"/>
        <v>0</v>
      </c>
      <c r="H21" s="6">
        <f t="shared" si="10"/>
        <v>65067.333333333336</v>
      </c>
      <c r="I21" s="28"/>
      <c r="J21" s="6">
        <v>0</v>
      </c>
      <c r="K21" s="28">
        <f t="shared" si="11"/>
        <v>915</v>
      </c>
      <c r="L21" s="19"/>
      <c r="M21" s="25">
        <f t="shared" si="13"/>
        <v>445.6666666666667</v>
      </c>
      <c r="N21" s="25">
        <f t="shared" si="14"/>
        <v>735.35</v>
      </c>
      <c r="O21" s="25">
        <f t="shared" si="7"/>
        <v>332.9548717948718</v>
      </c>
      <c r="P21" s="25"/>
      <c r="Q21" s="30"/>
      <c r="R21" s="30"/>
      <c r="S21" s="30"/>
    </row>
    <row r="22" spans="1:19" ht="10.5" customHeight="1">
      <c r="A22" s="4" t="s">
        <v>46</v>
      </c>
      <c r="B22" s="23"/>
      <c r="C22" s="30"/>
      <c r="D22" s="26"/>
      <c r="E22" s="16">
        <f>733562+19700+1400+11646+19500</f>
        <v>785808</v>
      </c>
      <c r="F22" s="19">
        <f t="shared" si="8"/>
        <v>84193.71428571432</v>
      </c>
      <c r="G22" s="19">
        <f>J22*132</f>
        <v>0</v>
      </c>
      <c r="H22" s="6">
        <f t="shared" si="10"/>
        <v>65484</v>
      </c>
      <c r="I22" s="28"/>
      <c r="J22" s="6">
        <v>0</v>
      </c>
      <c r="K22" s="28">
        <f t="shared" si="11"/>
        <v>915</v>
      </c>
      <c r="L22" s="19"/>
      <c r="M22" s="25">
        <f t="shared" si="13"/>
        <v>448.52054794520546</v>
      </c>
      <c r="N22" s="25">
        <f t="shared" si="14"/>
        <v>740.058904109589</v>
      </c>
      <c r="O22" s="25">
        <f t="shared" si="7"/>
        <v>335.51897435897433</v>
      </c>
      <c r="P22" s="25"/>
      <c r="Q22" s="30"/>
      <c r="R22" s="30"/>
      <c r="S22" s="30"/>
    </row>
    <row r="23" spans="1:19" ht="10.5" customHeight="1">
      <c r="A23" s="4" t="s">
        <v>64</v>
      </c>
      <c r="B23" s="23"/>
      <c r="C23" s="30"/>
      <c r="D23" s="26"/>
      <c r="E23" s="16">
        <f>738562+19700+1400+11646+19500</f>
        <v>790808</v>
      </c>
      <c r="F23" s="19">
        <f>E23-(E23/1.12)</f>
        <v>84729.42857142864</v>
      </c>
      <c r="G23" s="19">
        <f>J23*132</f>
        <v>0</v>
      </c>
      <c r="H23" s="6">
        <f>E23/12</f>
        <v>65900.66666666667</v>
      </c>
      <c r="I23" s="28"/>
      <c r="J23" s="6">
        <v>0</v>
      </c>
      <c r="K23" s="28">
        <f t="shared" si="11"/>
        <v>915</v>
      </c>
      <c r="L23" s="19"/>
      <c r="M23" s="25">
        <f>E23/1752</f>
        <v>451.3744292237443</v>
      </c>
      <c r="N23" s="25">
        <f>M23*1.65</f>
        <v>744.767808219178</v>
      </c>
      <c r="O23" s="25">
        <f t="shared" si="7"/>
        <v>338.08307692307693</v>
      </c>
      <c r="P23" s="25"/>
      <c r="Q23" s="30"/>
      <c r="R23" s="30"/>
      <c r="S23" s="30"/>
    </row>
    <row r="24" ht="12" customHeight="1"/>
    <row r="25" ht="12" customHeight="1"/>
    <row r="26" spans="1:4" ht="12" customHeight="1">
      <c r="A26" s="39" t="s">
        <v>69</v>
      </c>
      <c r="B26" s="40" t="s">
        <v>70</v>
      </c>
      <c r="C26" s="40" t="s">
        <v>71</v>
      </c>
      <c r="D26" s="40" t="s">
        <v>72</v>
      </c>
    </row>
    <row r="27" spans="1:4" ht="12" customHeight="1">
      <c r="A27" s="39" t="s">
        <v>69</v>
      </c>
      <c r="B27" s="40"/>
      <c r="C27" s="40" t="s">
        <v>73</v>
      </c>
      <c r="D27" s="40" t="s">
        <v>74</v>
      </c>
    </row>
    <row r="28" spans="1:4" ht="12" customHeight="1">
      <c r="A28" s="39" t="s">
        <v>69</v>
      </c>
      <c r="B28" s="40"/>
      <c r="C28" s="40" t="s">
        <v>20</v>
      </c>
      <c r="D28" s="40" t="s">
        <v>48</v>
      </c>
    </row>
    <row r="29" spans="1:4" ht="12" customHeight="1">
      <c r="A29" s="39"/>
      <c r="B29" s="40"/>
      <c r="C29" s="40" t="s">
        <v>47</v>
      </c>
      <c r="D29" s="41"/>
    </row>
    <row r="30" spans="1:4" ht="12" customHeight="1">
      <c r="A30" s="39"/>
      <c r="B30" s="40"/>
      <c r="C30" s="40" t="s">
        <v>75</v>
      </c>
      <c r="D30" s="40" t="s">
        <v>76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:IV16384"/>
    </sheetView>
  </sheetViews>
  <sheetFormatPr defaultColWidth="10.421875" defaultRowHeight="12.75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78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13</v>
      </c>
      <c r="B4" s="23" t="s">
        <v>23</v>
      </c>
      <c r="C4" s="23" t="s">
        <v>20</v>
      </c>
      <c r="D4" s="23" t="s">
        <v>22</v>
      </c>
      <c r="E4" s="16">
        <f>640371+5160+3100+9100+7166+4500+19700+1400+11646+19500</f>
        <v>721643</v>
      </c>
      <c r="F4" s="19">
        <f aca="true" t="shared" si="0" ref="F4:F12">E4-(E4/1.12)</f>
        <v>77318.89285714296</v>
      </c>
      <c r="G4" s="19">
        <f aca="true" t="shared" si="1" ref="G4:G12">J4*132</f>
        <v>0</v>
      </c>
      <c r="H4" s="6">
        <f aca="true" t="shared" si="2" ref="H4:H12">E4/12</f>
        <v>60136.916666666664</v>
      </c>
      <c r="I4" s="6"/>
      <c r="J4" s="6">
        <v>0</v>
      </c>
      <c r="K4" s="19">
        <f aca="true" t="shared" si="3" ref="K4:K12">J4*146</f>
        <v>0</v>
      </c>
      <c r="L4" s="24">
        <f aca="true" t="shared" si="4" ref="L4:L12">(E4-K4)/12</f>
        <v>60136.916666666664</v>
      </c>
      <c r="M4" s="25">
        <f aca="true" t="shared" si="5" ref="M4:M12">E4/1752</f>
        <v>411.8966894977169</v>
      </c>
      <c r="N4" s="25">
        <f aca="true" t="shared" si="6" ref="N4:N12">M4*1.65</f>
        <v>679.6295376712329</v>
      </c>
      <c r="O4" s="25">
        <f aca="true" t="shared" si="7" ref="O4:O21">(E4-(901*146))/1950</f>
        <v>302.61384615384617</v>
      </c>
    </row>
    <row r="5" spans="1:15" ht="10.5" customHeight="1">
      <c r="A5" s="4" t="s">
        <v>3</v>
      </c>
      <c r="B5" s="23"/>
      <c r="C5" s="23" t="s">
        <v>21</v>
      </c>
      <c r="D5" s="23"/>
      <c r="E5" s="16">
        <f>675745+19700+1400+11646+19500</f>
        <v>727991</v>
      </c>
      <c r="F5" s="19">
        <f t="shared" si="0"/>
        <v>77999.0357142858</v>
      </c>
      <c r="G5" s="19">
        <f t="shared" si="1"/>
        <v>0</v>
      </c>
      <c r="H5" s="6">
        <f t="shared" si="2"/>
        <v>60665.916666666664</v>
      </c>
      <c r="I5" s="6"/>
      <c r="J5" s="6">
        <v>0</v>
      </c>
      <c r="K5" s="19">
        <f t="shared" si="3"/>
        <v>0</v>
      </c>
      <c r="L5" s="24">
        <f t="shared" si="4"/>
        <v>60665.916666666664</v>
      </c>
      <c r="M5" s="25">
        <f t="shared" si="5"/>
        <v>415.51997716894977</v>
      </c>
      <c r="N5" s="25">
        <f t="shared" si="6"/>
        <v>685.607962328767</v>
      </c>
      <c r="O5" s="25">
        <f t="shared" si="7"/>
        <v>305.8692307692308</v>
      </c>
    </row>
    <row r="6" spans="1:15" ht="10.5" customHeight="1">
      <c r="A6" s="4" t="s">
        <v>14</v>
      </c>
      <c r="B6" s="23"/>
      <c r="C6" s="23"/>
      <c r="D6" s="23"/>
      <c r="E6" s="16">
        <f>680745+19700+1400+11646+19500</f>
        <v>732991</v>
      </c>
      <c r="F6" s="19">
        <f t="shared" si="0"/>
        <v>78534.75000000012</v>
      </c>
      <c r="G6" s="19">
        <f t="shared" si="1"/>
        <v>0</v>
      </c>
      <c r="H6" s="6">
        <f t="shared" si="2"/>
        <v>61082.583333333336</v>
      </c>
      <c r="I6" s="6"/>
      <c r="J6" s="6">
        <v>0</v>
      </c>
      <c r="K6" s="19">
        <f t="shared" si="3"/>
        <v>0</v>
      </c>
      <c r="L6" s="24">
        <f t="shared" si="4"/>
        <v>61082.583333333336</v>
      </c>
      <c r="M6" s="25">
        <f t="shared" si="5"/>
        <v>418.3738584474886</v>
      </c>
      <c r="N6" s="25">
        <f t="shared" si="6"/>
        <v>690.3168664383561</v>
      </c>
      <c r="O6" s="25">
        <f t="shared" si="7"/>
        <v>308.43333333333334</v>
      </c>
    </row>
    <row r="7" spans="1:15" ht="10.5" customHeight="1">
      <c r="A7" s="4" t="s">
        <v>15</v>
      </c>
      <c r="B7" s="23" t="s">
        <v>29</v>
      </c>
      <c r="C7" s="23"/>
      <c r="D7" s="23"/>
      <c r="E7" s="16">
        <f>685745+19700+1400+11646+19500</f>
        <v>737991</v>
      </c>
      <c r="F7" s="19">
        <f t="shared" si="0"/>
        <v>79070.46428571432</v>
      </c>
      <c r="G7" s="19">
        <f t="shared" si="1"/>
        <v>0</v>
      </c>
      <c r="H7" s="6">
        <f t="shared" si="2"/>
        <v>61499.25</v>
      </c>
      <c r="I7" s="6"/>
      <c r="J7" s="6">
        <v>0</v>
      </c>
      <c r="K7" s="19">
        <f t="shared" si="3"/>
        <v>0</v>
      </c>
      <c r="L7" s="24">
        <f t="shared" si="4"/>
        <v>61499.25</v>
      </c>
      <c r="M7" s="25">
        <f t="shared" si="5"/>
        <v>421.2277397260274</v>
      </c>
      <c r="N7" s="25">
        <f t="shared" si="6"/>
        <v>695.0257705479452</v>
      </c>
      <c r="O7" s="25">
        <f t="shared" si="7"/>
        <v>310.9974358974359</v>
      </c>
    </row>
    <row r="8" spans="1:15" ht="10.5" customHeight="1">
      <c r="A8" s="4" t="s">
        <v>16</v>
      </c>
      <c r="B8" s="23"/>
      <c r="C8" s="23"/>
      <c r="D8" s="23"/>
      <c r="E8" s="16">
        <f>690745+19700+1400+11646+19500</f>
        <v>742991</v>
      </c>
      <c r="F8" s="19">
        <f t="shared" si="0"/>
        <v>79606.17857142864</v>
      </c>
      <c r="G8" s="19">
        <f t="shared" si="1"/>
        <v>0</v>
      </c>
      <c r="H8" s="6">
        <f t="shared" si="2"/>
        <v>61915.916666666664</v>
      </c>
      <c r="I8" s="6"/>
      <c r="J8" s="6">
        <v>0</v>
      </c>
      <c r="K8" s="19">
        <f t="shared" si="3"/>
        <v>0</v>
      </c>
      <c r="L8" s="24">
        <f t="shared" si="4"/>
        <v>61915.916666666664</v>
      </c>
      <c r="M8" s="25">
        <f t="shared" si="5"/>
        <v>424.0816210045662</v>
      </c>
      <c r="N8" s="25">
        <f t="shared" si="6"/>
        <v>699.7346746575342</v>
      </c>
      <c r="O8" s="25">
        <f t="shared" si="7"/>
        <v>313.5615384615385</v>
      </c>
    </row>
    <row r="9" spans="1:15" ht="10.5" customHeight="1">
      <c r="A9" s="4" t="s">
        <v>30</v>
      </c>
      <c r="B9" s="23"/>
      <c r="C9" s="23"/>
      <c r="D9" s="23"/>
      <c r="E9" s="16">
        <f>695745+19700+1400+11646+19500</f>
        <v>747991</v>
      </c>
      <c r="F9" s="19">
        <f t="shared" si="0"/>
        <v>80141.89285714296</v>
      </c>
      <c r="G9" s="19">
        <f t="shared" si="1"/>
        <v>0</v>
      </c>
      <c r="H9" s="6">
        <f t="shared" si="2"/>
        <v>62332.583333333336</v>
      </c>
      <c r="I9" s="6"/>
      <c r="J9" s="6">
        <v>0</v>
      </c>
      <c r="K9" s="19">
        <f t="shared" si="3"/>
        <v>0</v>
      </c>
      <c r="L9" s="24">
        <f t="shared" si="4"/>
        <v>62332.583333333336</v>
      </c>
      <c r="M9" s="25">
        <f t="shared" si="5"/>
        <v>426.935502283105</v>
      </c>
      <c r="N9" s="25">
        <f t="shared" si="6"/>
        <v>704.4435787671232</v>
      </c>
      <c r="O9" s="25">
        <f t="shared" si="7"/>
        <v>316.125641025641</v>
      </c>
    </row>
    <row r="10" spans="1:15" ht="10.5" customHeight="1">
      <c r="A10" s="4" t="s">
        <v>35</v>
      </c>
      <c r="B10" s="23"/>
      <c r="C10" s="23"/>
      <c r="D10" s="23"/>
      <c r="E10" s="16">
        <f>700745+19700+1400+11646+19500</f>
        <v>752991</v>
      </c>
      <c r="F10" s="19">
        <f t="shared" si="0"/>
        <v>80677.60714285716</v>
      </c>
      <c r="G10" s="19">
        <f t="shared" si="1"/>
        <v>0</v>
      </c>
      <c r="H10" s="6">
        <f t="shared" si="2"/>
        <v>62749.25</v>
      </c>
      <c r="I10" s="6"/>
      <c r="J10" s="6">
        <v>0</v>
      </c>
      <c r="K10" s="19">
        <f t="shared" si="3"/>
        <v>0</v>
      </c>
      <c r="L10" s="24">
        <f t="shared" si="4"/>
        <v>62749.25</v>
      </c>
      <c r="M10" s="25">
        <f t="shared" si="5"/>
        <v>429.78938356164383</v>
      </c>
      <c r="N10" s="25">
        <f t="shared" si="6"/>
        <v>709.1524828767123</v>
      </c>
      <c r="O10" s="25">
        <f t="shared" si="7"/>
        <v>318.6897435897436</v>
      </c>
    </row>
    <row r="11" spans="1:15" ht="10.5" customHeight="1">
      <c r="A11" s="4" t="s">
        <v>60</v>
      </c>
      <c r="B11" s="23"/>
      <c r="C11" s="23"/>
      <c r="D11" s="23"/>
      <c r="E11" s="16">
        <f>705745+19700+1400+11646+19500</f>
        <v>757991</v>
      </c>
      <c r="F11" s="19">
        <f t="shared" si="0"/>
        <v>81213.32142857148</v>
      </c>
      <c r="G11" s="19">
        <f t="shared" si="1"/>
        <v>0</v>
      </c>
      <c r="H11" s="6">
        <f t="shared" si="2"/>
        <v>63165.916666666664</v>
      </c>
      <c r="I11" s="6"/>
      <c r="J11" s="6">
        <v>0</v>
      </c>
      <c r="K11" s="19">
        <f t="shared" si="3"/>
        <v>0</v>
      </c>
      <c r="L11" s="24">
        <f t="shared" si="4"/>
        <v>63165.916666666664</v>
      </c>
      <c r="M11" s="25">
        <f t="shared" si="5"/>
        <v>432.64326484018267</v>
      </c>
      <c r="N11" s="25">
        <f t="shared" si="6"/>
        <v>713.8613869863013</v>
      </c>
      <c r="O11" s="25">
        <f t="shared" si="7"/>
        <v>321.25384615384615</v>
      </c>
    </row>
    <row r="12" spans="1:15" ht="10.5" customHeight="1">
      <c r="A12" s="4" t="s">
        <v>63</v>
      </c>
      <c r="B12" s="23"/>
      <c r="C12" s="23"/>
      <c r="D12" s="23"/>
      <c r="E12" s="16">
        <f>706245+4500+19700+1400+11646+19500</f>
        <v>762991</v>
      </c>
      <c r="F12" s="19">
        <f t="shared" si="0"/>
        <v>81749.0357142858</v>
      </c>
      <c r="G12" s="19">
        <f t="shared" si="1"/>
        <v>0</v>
      </c>
      <c r="H12" s="6">
        <f t="shared" si="2"/>
        <v>63582.583333333336</v>
      </c>
      <c r="I12" s="6"/>
      <c r="J12" s="6">
        <v>0</v>
      </c>
      <c r="K12" s="19">
        <f t="shared" si="3"/>
        <v>0</v>
      </c>
      <c r="L12" s="24">
        <f t="shared" si="4"/>
        <v>63582.583333333336</v>
      </c>
      <c r="M12" s="25">
        <f t="shared" si="5"/>
        <v>435.49714611872145</v>
      </c>
      <c r="N12" s="25">
        <f t="shared" si="6"/>
        <v>718.5702910958903</v>
      </c>
      <c r="O12" s="25">
        <f t="shared" si="7"/>
        <v>323.8179487179487</v>
      </c>
    </row>
    <row r="13" spans="1:15" ht="10.5" customHeight="1">
      <c r="A13" s="4"/>
      <c r="B13" s="23"/>
      <c r="C13" s="23"/>
      <c r="D13" s="23"/>
      <c r="E13" s="20"/>
      <c r="F13" s="16"/>
      <c r="G13" s="16"/>
      <c r="H13" s="27"/>
      <c r="I13" s="28"/>
      <c r="J13" s="6"/>
      <c r="K13" s="19"/>
      <c r="L13" s="24"/>
      <c r="M13" s="25"/>
      <c r="N13" s="25"/>
      <c r="O13" s="25"/>
    </row>
    <row r="14" spans="1:19" ht="10.5" customHeight="1">
      <c r="A14" s="4" t="s">
        <v>40</v>
      </c>
      <c r="B14" s="38" t="s">
        <v>37</v>
      </c>
      <c r="C14" s="23" t="s">
        <v>20</v>
      </c>
      <c r="D14" s="23" t="s">
        <v>48</v>
      </c>
      <c r="E14" s="16">
        <f>703562+19700+1400+11646+19500</f>
        <v>755808</v>
      </c>
      <c r="F14" s="19">
        <f aca="true" t="shared" si="8" ref="F14:F21">E14-(E14/1.12)</f>
        <v>80979.42857142864</v>
      </c>
      <c r="G14" s="19">
        <f aca="true" t="shared" si="9" ref="G14:G21">J14*132</f>
        <v>0</v>
      </c>
      <c r="H14" s="6">
        <f aca="true" t="shared" si="10" ref="H14:H21">E14/12</f>
        <v>62984</v>
      </c>
      <c r="I14" s="28"/>
      <c r="J14" s="6">
        <v>0</v>
      </c>
      <c r="K14" s="28">
        <f aca="true" t="shared" si="11" ref="K14:K21">892+14+9</f>
        <v>915</v>
      </c>
      <c r="L14" s="19">
        <f>J14*146</f>
        <v>0</v>
      </c>
      <c r="M14" s="25">
        <f aca="true" t="shared" si="12" ref="M14:M21">E14/1752</f>
        <v>431.3972602739726</v>
      </c>
      <c r="N14" s="25">
        <f aca="true" t="shared" si="13" ref="N14:N21">M14*1.65</f>
        <v>711.8054794520548</v>
      </c>
      <c r="O14" s="25">
        <f t="shared" si="7"/>
        <v>320.134358974359</v>
      </c>
      <c r="P14" s="25"/>
      <c r="Q14" s="30"/>
      <c r="R14" s="30"/>
      <c r="S14" s="30"/>
    </row>
    <row r="15" spans="1:19" ht="10.5" customHeight="1">
      <c r="A15" s="4" t="s">
        <v>41</v>
      </c>
      <c r="B15" s="23"/>
      <c r="C15" s="23" t="s">
        <v>47</v>
      </c>
      <c r="D15" s="23"/>
      <c r="E15" s="16">
        <f>708562+19700+1400+11646+19500</f>
        <v>760808</v>
      </c>
      <c r="F15" s="19">
        <f t="shared" si="8"/>
        <v>81515.14285714296</v>
      </c>
      <c r="G15" s="19">
        <f t="shared" si="9"/>
        <v>0</v>
      </c>
      <c r="H15" s="6">
        <f t="shared" si="10"/>
        <v>63400.666666666664</v>
      </c>
      <c r="I15" s="28"/>
      <c r="J15" s="6">
        <v>0</v>
      </c>
      <c r="K15" s="28">
        <f t="shared" si="11"/>
        <v>915</v>
      </c>
      <c r="L15" s="19">
        <f>J15*146</f>
        <v>0</v>
      </c>
      <c r="M15" s="25">
        <f t="shared" si="12"/>
        <v>434.2511415525114</v>
      </c>
      <c r="N15" s="25">
        <f t="shared" si="13"/>
        <v>716.5143835616437</v>
      </c>
      <c r="O15" s="25">
        <f t="shared" si="7"/>
        <v>322.6984615384615</v>
      </c>
      <c r="P15" s="25"/>
      <c r="Q15" s="30"/>
      <c r="R15" s="30"/>
      <c r="S15" s="30"/>
    </row>
    <row r="16" spans="1:19" ht="10.5" customHeight="1">
      <c r="A16" s="4" t="s">
        <v>42</v>
      </c>
      <c r="B16" s="23"/>
      <c r="C16" s="30"/>
      <c r="D16" s="26"/>
      <c r="E16" s="16">
        <f>713562+19700+1400+11646+19500</f>
        <v>765808</v>
      </c>
      <c r="F16" s="19">
        <f t="shared" si="8"/>
        <v>82050.85714285716</v>
      </c>
      <c r="G16" s="19">
        <f t="shared" si="9"/>
        <v>0</v>
      </c>
      <c r="H16" s="6">
        <f t="shared" si="10"/>
        <v>63817.333333333336</v>
      </c>
      <c r="I16" s="28"/>
      <c r="J16" s="6">
        <v>0</v>
      </c>
      <c r="K16" s="28">
        <f t="shared" si="11"/>
        <v>915</v>
      </c>
      <c r="L16" s="19">
        <f>J16*146</f>
        <v>0</v>
      </c>
      <c r="M16" s="25">
        <f t="shared" si="12"/>
        <v>437.10502283105023</v>
      </c>
      <c r="N16" s="25">
        <f t="shared" si="13"/>
        <v>721.2232876712328</v>
      </c>
      <c r="O16" s="25">
        <f t="shared" si="7"/>
        <v>325.2625641025641</v>
      </c>
      <c r="P16" s="25"/>
      <c r="Q16" s="30"/>
      <c r="R16" s="30"/>
      <c r="S16" s="30"/>
    </row>
    <row r="17" spans="1:19" ht="10.5" customHeight="1">
      <c r="A17" s="4" t="s">
        <v>43</v>
      </c>
      <c r="B17" s="23"/>
      <c r="C17" s="30"/>
      <c r="D17" s="26"/>
      <c r="E17" s="16">
        <f>718562+19700+1400+11646+19500</f>
        <v>770808</v>
      </c>
      <c r="F17" s="19">
        <f t="shared" si="8"/>
        <v>82586.57142857148</v>
      </c>
      <c r="G17" s="19">
        <f t="shared" si="9"/>
        <v>0</v>
      </c>
      <c r="H17" s="6">
        <f t="shared" si="10"/>
        <v>64234</v>
      </c>
      <c r="I17" s="28"/>
      <c r="J17" s="6">
        <v>0</v>
      </c>
      <c r="K17" s="28">
        <f t="shared" si="11"/>
        <v>915</v>
      </c>
      <c r="L17" s="19">
        <f>J17*146</f>
        <v>0</v>
      </c>
      <c r="M17" s="25">
        <f t="shared" si="12"/>
        <v>439.958904109589</v>
      </c>
      <c r="N17" s="25">
        <f t="shared" si="13"/>
        <v>725.9321917808219</v>
      </c>
      <c r="O17" s="25">
        <f t="shared" si="7"/>
        <v>327.82666666666665</v>
      </c>
      <c r="P17" s="25"/>
      <c r="Q17" s="30"/>
      <c r="R17" s="30"/>
      <c r="S17" s="30"/>
    </row>
    <row r="18" spans="1:19" ht="10.5" customHeight="1">
      <c r="A18" s="4" t="s">
        <v>44</v>
      </c>
      <c r="B18" s="23"/>
      <c r="C18" s="30"/>
      <c r="D18" s="26"/>
      <c r="E18" s="16">
        <f>723562+19700+1400+11646+19500</f>
        <v>775808</v>
      </c>
      <c r="F18" s="19">
        <f t="shared" si="8"/>
        <v>83122.2857142858</v>
      </c>
      <c r="G18" s="19">
        <f t="shared" si="9"/>
        <v>0</v>
      </c>
      <c r="H18" s="6">
        <f t="shared" si="10"/>
        <v>64650.666666666664</v>
      </c>
      <c r="I18" s="28"/>
      <c r="J18" s="6">
        <v>0</v>
      </c>
      <c r="K18" s="28">
        <f t="shared" si="11"/>
        <v>915</v>
      </c>
      <c r="L18" s="19">
        <f>J18*146</f>
        <v>0</v>
      </c>
      <c r="M18" s="25">
        <f t="shared" si="12"/>
        <v>442.81278538812785</v>
      </c>
      <c r="N18" s="25">
        <f t="shared" si="13"/>
        <v>730.641095890411</v>
      </c>
      <c r="O18" s="25">
        <f t="shared" si="7"/>
        <v>330.39076923076925</v>
      </c>
      <c r="P18" s="25"/>
      <c r="Q18" s="30"/>
      <c r="R18" s="30"/>
      <c r="S18" s="30"/>
    </row>
    <row r="19" spans="1:19" ht="10.5" customHeight="1">
      <c r="A19" s="4" t="s">
        <v>45</v>
      </c>
      <c r="B19" s="23"/>
      <c r="C19" s="30"/>
      <c r="D19" s="26"/>
      <c r="E19" s="16">
        <f>728562+19700+1400+11646+19500</f>
        <v>780808</v>
      </c>
      <c r="F19" s="19">
        <f t="shared" si="8"/>
        <v>83658.00000000012</v>
      </c>
      <c r="G19" s="19">
        <f t="shared" si="9"/>
        <v>0</v>
      </c>
      <c r="H19" s="6">
        <f t="shared" si="10"/>
        <v>65067.333333333336</v>
      </c>
      <c r="I19" s="28"/>
      <c r="J19" s="6">
        <v>0</v>
      </c>
      <c r="K19" s="28">
        <f t="shared" si="11"/>
        <v>915</v>
      </c>
      <c r="L19" s="19"/>
      <c r="M19" s="25">
        <f t="shared" si="12"/>
        <v>445.6666666666667</v>
      </c>
      <c r="N19" s="25">
        <f t="shared" si="13"/>
        <v>735.35</v>
      </c>
      <c r="O19" s="25">
        <f t="shared" si="7"/>
        <v>332.9548717948718</v>
      </c>
      <c r="P19" s="25"/>
      <c r="Q19" s="30"/>
      <c r="R19" s="30"/>
      <c r="S19" s="30"/>
    </row>
    <row r="20" spans="1:19" ht="10.5" customHeight="1">
      <c r="A20" s="4" t="s">
        <v>46</v>
      </c>
      <c r="B20" s="23"/>
      <c r="C20" s="30"/>
      <c r="D20" s="26"/>
      <c r="E20" s="16">
        <f>733562+19700+1400+11646+19500</f>
        <v>785808</v>
      </c>
      <c r="F20" s="19">
        <f t="shared" si="8"/>
        <v>84193.71428571432</v>
      </c>
      <c r="G20" s="19">
        <f t="shared" si="9"/>
        <v>0</v>
      </c>
      <c r="H20" s="6">
        <f t="shared" si="10"/>
        <v>65484</v>
      </c>
      <c r="I20" s="28"/>
      <c r="J20" s="6">
        <v>0</v>
      </c>
      <c r="K20" s="28">
        <f t="shared" si="11"/>
        <v>915</v>
      </c>
      <c r="L20" s="19"/>
      <c r="M20" s="25">
        <f t="shared" si="12"/>
        <v>448.52054794520546</v>
      </c>
      <c r="N20" s="25">
        <f t="shared" si="13"/>
        <v>740.058904109589</v>
      </c>
      <c r="O20" s="25">
        <f t="shared" si="7"/>
        <v>335.51897435897433</v>
      </c>
      <c r="P20" s="25"/>
      <c r="Q20" s="30"/>
      <c r="R20" s="30"/>
      <c r="S20" s="30"/>
    </row>
    <row r="21" spans="1:19" ht="10.5" customHeight="1">
      <c r="A21" s="4" t="s">
        <v>64</v>
      </c>
      <c r="B21" s="23"/>
      <c r="C21" s="30"/>
      <c r="D21" s="26"/>
      <c r="E21" s="16">
        <f>738562+19700+1400+11646+19500</f>
        <v>790808</v>
      </c>
      <c r="F21" s="19">
        <f t="shared" si="8"/>
        <v>84729.42857142864</v>
      </c>
      <c r="G21" s="19">
        <f t="shared" si="9"/>
        <v>0</v>
      </c>
      <c r="H21" s="6">
        <f t="shared" si="10"/>
        <v>65900.66666666667</v>
      </c>
      <c r="I21" s="28"/>
      <c r="J21" s="6">
        <v>0</v>
      </c>
      <c r="K21" s="28">
        <f t="shared" si="11"/>
        <v>915</v>
      </c>
      <c r="L21" s="19"/>
      <c r="M21" s="25">
        <f t="shared" si="12"/>
        <v>451.3744292237443</v>
      </c>
      <c r="N21" s="25">
        <f t="shared" si="13"/>
        <v>744.767808219178</v>
      </c>
      <c r="O21" s="25">
        <f t="shared" si="7"/>
        <v>338.08307692307693</v>
      </c>
      <c r="P21" s="25"/>
      <c r="Q21" s="30"/>
      <c r="R21" s="30"/>
      <c r="S21" s="30"/>
    </row>
    <row r="22" spans="2:19" ht="10.5" customHeight="1">
      <c r="B22" s="23"/>
      <c r="C22" s="30"/>
      <c r="D22" s="26"/>
      <c r="P22" s="25"/>
      <c r="Q22" s="30"/>
      <c r="R22" s="30"/>
      <c r="S22" s="30"/>
    </row>
    <row r="23" ht="12" customHeight="1"/>
    <row r="24" ht="12" customHeight="1">
      <c r="A24" s="39" t="s">
        <v>69</v>
      </c>
    </row>
    <row r="25" spans="1:4" ht="12" customHeight="1">
      <c r="A25" s="39" t="s">
        <v>69</v>
      </c>
      <c r="B25" s="40" t="s">
        <v>70</v>
      </c>
      <c r="C25" s="40" t="s">
        <v>71</v>
      </c>
      <c r="D25" s="40" t="s">
        <v>72</v>
      </c>
    </row>
    <row r="26" spans="1:4" ht="12" customHeight="1">
      <c r="A26" s="39" t="s">
        <v>69</v>
      </c>
      <c r="B26" s="40"/>
      <c r="C26" s="40" t="s">
        <v>73</v>
      </c>
      <c r="D26" s="40" t="s">
        <v>74</v>
      </c>
    </row>
    <row r="27" spans="1:4" ht="12" customHeight="1">
      <c r="A27" s="39"/>
      <c r="B27" s="40"/>
      <c r="C27" s="40" t="s">
        <v>20</v>
      </c>
      <c r="D27" s="40" t="s">
        <v>48</v>
      </c>
    </row>
    <row r="28" spans="1:4" ht="12" customHeight="1">
      <c r="A28" s="39"/>
      <c r="B28" s="40"/>
      <c r="C28" s="40" t="s">
        <v>47</v>
      </c>
      <c r="D28" s="41"/>
    </row>
    <row r="29" spans="2:4" ht="12" customHeight="1">
      <c r="B29" s="40"/>
      <c r="C29" s="40" t="s">
        <v>75</v>
      </c>
      <c r="D29" s="40" t="s">
        <v>76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E22" sqref="E22"/>
    </sheetView>
  </sheetViews>
  <sheetFormatPr defaultColWidth="10.421875" defaultRowHeight="12.75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79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13</v>
      </c>
      <c r="B4" s="23" t="s">
        <v>23</v>
      </c>
      <c r="C4" s="23" t="s">
        <v>20</v>
      </c>
      <c r="D4" s="23" t="s">
        <v>22</v>
      </c>
      <c r="E4" s="16">
        <f>640371+5160+3100+9100+7166+4500+19700+1400+11646+19500+25000</f>
        <v>746643</v>
      </c>
      <c r="F4" s="19">
        <f aca="true" t="shared" si="0" ref="F4:F12">E4-(E4/1.12)</f>
        <v>79997.46428571432</v>
      </c>
      <c r="G4" s="19">
        <f aca="true" t="shared" si="1" ref="G4:G12">J4*132</f>
        <v>0</v>
      </c>
      <c r="H4" s="6">
        <f aca="true" t="shared" si="2" ref="H4:H12">E4/12</f>
        <v>62220.25</v>
      </c>
      <c r="I4" s="6"/>
      <c r="J4" s="6">
        <v>0</v>
      </c>
      <c r="K4" s="19">
        <f aca="true" t="shared" si="3" ref="K4:K12">J4*146</f>
        <v>0</v>
      </c>
      <c r="L4" s="24">
        <f aca="true" t="shared" si="4" ref="L4:L12">(E4-K4)/12</f>
        <v>62220.25</v>
      </c>
      <c r="M4" s="25">
        <f aca="true" t="shared" si="5" ref="M4:M12">E4/1752</f>
        <v>426.166095890411</v>
      </c>
      <c r="N4" s="25">
        <f aca="true" t="shared" si="6" ref="N4:N12">M4*1.65</f>
        <v>703.174058219178</v>
      </c>
      <c r="O4" s="25">
        <f aca="true" t="shared" si="7" ref="O4:O21">(E4-(901*146))/1950</f>
        <v>315.434358974359</v>
      </c>
    </row>
    <row r="5" spans="1:15" ht="10.5" customHeight="1">
      <c r="A5" s="4" t="s">
        <v>3</v>
      </c>
      <c r="B5" s="23"/>
      <c r="C5" s="23" t="s">
        <v>21</v>
      </c>
      <c r="D5" s="23"/>
      <c r="E5" s="16">
        <f>675745+19700+1400+11646+19500+25000</f>
        <v>752991</v>
      </c>
      <c r="F5" s="19">
        <f t="shared" si="0"/>
        <v>80677.60714285716</v>
      </c>
      <c r="G5" s="19">
        <f t="shared" si="1"/>
        <v>0</v>
      </c>
      <c r="H5" s="6">
        <f t="shared" si="2"/>
        <v>62749.25</v>
      </c>
      <c r="I5" s="6"/>
      <c r="J5" s="6">
        <v>0</v>
      </c>
      <c r="K5" s="19">
        <f t="shared" si="3"/>
        <v>0</v>
      </c>
      <c r="L5" s="24">
        <f t="shared" si="4"/>
        <v>62749.25</v>
      </c>
      <c r="M5" s="25">
        <f t="shared" si="5"/>
        <v>429.78938356164383</v>
      </c>
      <c r="N5" s="25">
        <f t="shared" si="6"/>
        <v>709.1524828767123</v>
      </c>
      <c r="O5" s="25">
        <f t="shared" si="7"/>
        <v>318.6897435897436</v>
      </c>
    </row>
    <row r="6" spans="1:15" ht="10.5" customHeight="1">
      <c r="A6" s="4" t="s">
        <v>14</v>
      </c>
      <c r="B6" s="23"/>
      <c r="C6" s="23"/>
      <c r="D6" s="23"/>
      <c r="E6" s="16">
        <f>680745+19700+1400+11646+19500+25000</f>
        <v>757991</v>
      </c>
      <c r="F6" s="19">
        <f t="shared" si="0"/>
        <v>81213.32142857148</v>
      </c>
      <c r="G6" s="19">
        <f t="shared" si="1"/>
        <v>0</v>
      </c>
      <c r="H6" s="6">
        <f t="shared" si="2"/>
        <v>63165.916666666664</v>
      </c>
      <c r="I6" s="6"/>
      <c r="J6" s="6">
        <v>0</v>
      </c>
      <c r="K6" s="19">
        <f t="shared" si="3"/>
        <v>0</v>
      </c>
      <c r="L6" s="24">
        <f t="shared" si="4"/>
        <v>63165.916666666664</v>
      </c>
      <c r="M6" s="25">
        <f t="shared" si="5"/>
        <v>432.64326484018267</v>
      </c>
      <c r="N6" s="25">
        <f t="shared" si="6"/>
        <v>713.8613869863013</v>
      </c>
      <c r="O6" s="25">
        <f t="shared" si="7"/>
        <v>321.25384615384615</v>
      </c>
    </row>
    <row r="7" spans="1:15" ht="10.5" customHeight="1">
      <c r="A7" s="4" t="s">
        <v>15</v>
      </c>
      <c r="B7" s="23" t="s">
        <v>29</v>
      </c>
      <c r="C7" s="23"/>
      <c r="D7" s="23"/>
      <c r="E7" s="16">
        <f>685745+19700+1400+11646+19500+25000</f>
        <v>762991</v>
      </c>
      <c r="F7" s="19">
        <f t="shared" si="0"/>
        <v>81749.0357142858</v>
      </c>
      <c r="G7" s="19">
        <f t="shared" si="1"/>
        <v>0</v>
      </c>
      <c r="H7" s="6">
        <f t="shared" si="2"/>
        <v>63582.583333333336</v>
      </c>
      <c r="I7" s="6"/>
      <c r="J7" s="6">
        <v>0</v>
      </c>
      <c r="K7" s="19">
        <f t="shared" si="3"/>
        <v>0</v>
      </c>
      <c r="L7" s="24">
        <f t="shared" si="4"/>
        <v>63582.583333333336</v>
      </c>
      <c r="M7" s="25">
        <f t="shared" si="5"/>
        <v>435.49714611872145</v>
      </c>
      <c r="N7" s="25">
        <f t="shared" si="6"/>
        <v>718.5702910958903</v>
      </c>
      <c r="O7" s="25">
        <f t="shared" si="7"/>
        <v>323.8179487179487</v>
      </c>
    </row>
    <row r="8" spans="1:15" ht="10.5" customHeight="1">
      <c r="A8" s="4" t="s">
        <v>16</v>
      </c>
      <c r="B8" s="23"/>
      <c r="C8" s="23"/>
      <c r="D8" s="23"/>
      <c r="E8" s="16">
        <f>690745+19700+1400+11646+19500+25000</f>
        <v>767991</v>
      </c>
      <c r="F8" s="19">
        <f t="shared" si="0"/>
        <v>82284.75000000012</v>
      </c>
      <c r="G8" s="19">
        <f t="shared" si="1"/>
        <v>0</v>
      </c>
      <c r="H8" s="6">
        <f t="shared" si="2"/>
        <v>63999.25</v>
      </c>
      <c r="I8" s="6"/>
      <c r="J8" s="6">
        <v>0</v>
      </c>
      <c r="K8" s="19">
        <f t="shared" si="3"/>
        <v>0</v>
      </c>
      <c r="L8" s="24">
        <f t="shared" si="4"/>
        <v>63999.25</v>
      </c>
      <c r="M8" s="25">
        <f t="shared" si="5"/>
        <v>438.3510273972603</v>
      </c>
      <c r="N8" s="25">
        <f t="shared" si="6"/>
        <v>723.2791952054795</v>
      </c>
      <c r="O8" s="25">
        <f t="shared" si="7"/>
        <v>326.3820512820513</v>
      </c>
    </row>
    <row r="9" spans="1:15" ht="10.5" customHeight="1">
      <c r="A9" s="4" t="s">
        <v>30</v>
      </c>
      <c r="B9" s="23"/>
      <c r="C9" s="23"/>
      <c r="D9" s="23"/>
      <c r="E9" s="16">
        <f>695745+19700+1400+11646+19500+25000</f>
        <v>772991</v>
      </c>
      <c r="F9" s="19">
        <f t="shared" si="0"/>
        <v>82820.46428571432</v>
      </c>
      <c r="G9" s="19">
        <f t="shared" si="1"/>
        <v>0</v>
      </c>
      <c r="H9" s="6">
        <f t="shared" si="2"/>
        <v>64415.916666666664</v>
      </c>
      <c r="I9" s="6"/>
      <c r="J9" s="6">
        <v>0</v>
      </c>
      <c r="K9" s="19">
        <f t="shared" si="3"/>
        <v>0</v>
      </c>
      <c r="L9" s="24">
        <f t="shared" si="4"/>
        <v>64415.916666666664</v>
      </c>
      <c r="M9" s="25">
        <f t="shared" si="5"/>
        <v>441.20490867579906</v>
      </c>
      <c r="N9" s="25">
        <f t="shared" si="6"/>
        <v>727.9880993150684</v>
      </c>
      <c r="O9" s="25">
        <f t="shared" si="7"/>
        <v>328.94615384615383</v>
      </c>
    </row>
    <row r="10" spans="1:15" ht="10.5" customHeight="1">
      <c r="A10" s="4" t="s">
        <v>35</v>
      </c>
      <c r="B10" s="23"/>
      <c r="C10" s="23"/>
      <c r="D10" s="23"/>
      <c r="E10" s="16">
        <f>700745+19700+1400+11646+19500+25000</f>
        <v>777991</v>
      </c>
      <c r="F10" s="19">
        <f t="shared" si="0"/>
        <v>83356.17857142864</v>
      </c>
      <c r="G10" s="19">
        <f t="shared" si="1"/>
        <v>0</v>
      </c>
      <c r="H10" s="6">
        <f t="shared" si="2"/>
        <v>64832.583333333336</v>
      </c>
      <c r="I10" s="6"/>
      <c r="J10" s="6">
        <v>0</v>
      </c>
      <c r="K10" s="19">
        <f t="shared" si="3"/>
        <v>0</v>
      </c>
      <c r="L10" s="24">
        <f t="shared" si="4"/>
        <v>64832.583333333336</v>
      </c>
      <c r="M10" s="25">
        <f t="shared" si="5"/>
        <v>444.0587899543379</v>
      </c>
      <c r="N10" s="25">
        <f t="shared" si="6"/>
        <v>732.6970034246575</v>
      </c>
      <c r="O10" s="25">
        <f t="shared" si="7"/>
        <v>331.51025641025643</v>
      </c>
    </row>
    <row r="11" spans="1:15" ht="10.5" customHeight="1">
      <c r="A11" s="4" t="s">
        <v>60</v>
      </c>
      <c r="B11" s="23"/>
      <c r="C11" s="23"/>
      <c r="D11" s="23"/>
      <c r="E11" s="16">
        <f>705745+19700+1400+11646+19500+25000</f>
        <v>782991</v>
      </c>
      <c r="F11" s="19">
        <f t="shared" si="0"/>
        <v>83891.89285714296</v>
      </c>
      <c r="G11" s="19">
        <f t="shared" si="1"/>
        <v>0</v>
      </c>
      <c r="H11" s="6">
        <f t="shared" si="2"/>
        <v>65249.25</v>
      </c>
      <c r="I11" s="6"/>
      <c r="J11" s="6">
        <v>0</v>
      </c>
      <c r="K11" s="19">
        <f t="shared" si="3"/>
        <v>0</v>
      </c>
      <c r="L11" s="24">
        <f t="shared" si="4"/>
        <v>65249.25</v>
      </c>
      <c r="M11" s="25">
        <f t="shared" si="5"/>
        <v>446.91267123287673</v>
      </c>
      <c r="N11" s="25">
        <f t="shared" si="6"/>
        <v>737.4059075342466</v>
      </c>
      <c r="O11" s="25">
        <f t="shared" si="7"/>
        <v>334.074358974359</v>
      </c>
    </row>
    <row r="12" spans="1:15" ht="10.5" customHeight="1">
      <c r="A12" s="4" t="s">
        <v>63</v>
      </c>
      <c r="B12" s="23"/>
      <c r="C12" s="23"/>
      <c r="D12" s="23"/>
      <c r="E12" s="16">
        <f>706245+4500+19700+1400+11646+19500+25000</f>
        <v>787991</v>
      </c>
      <c r="F12" s="19">
        <f t="shared" si="0"/>
        <v>84427.60714285716</v>
      </c>
      <c r="G12" s="19">
        <f t="shared" si="1"/>
        <v>0</v>
      </c>
      <c r="H12" s="6">
        <f t="shared" si="2"/>
        <v>65665.91666666667</v>
      </c>
      <c r="I12" s="6"/>
      <c r="J12" s="6">
        <v>0</v>
      </c>
      <c r="K12" s="19">
        <f t="shared" si="3"/>
        <v>0</v>
      </c>
      <c r="L12" s="24">
        <f t="shared" si="4"/>
        <v>65665.91666666667</v>
      </c>
      <c r="M12" s="25">
        <f t="shared" si="5"/>
        <v>449.7665525114155</v>
      </c>
      <c r="N12" s="25">
        <f t="shared" si="6"/>
        <v>742.1148116438355</v>
      </c>
      <c r="O12" s="25">
        <f t="shared" si="7"/>
        <v>336.6384615384615</v>
      </c>
    </row>
    <row r="13" spans="1:15" ht="10.5" customHeight="1">
      <c r="A13" s="4"/>
      <c r="B13" s="23"/>
      <c r="C13" s="23"/>
      <c r="D13" s="23"/>
      <c r="E13" s="20"/>
      <c r="F13" s="16"/>
      <c r="G13" s="16"/>
      <c r="H13" s="27"/>
      <c r="I13" s="28"/>
      <c r="J13" s="6"/>
      <c r="K13" s="19"/>
      <c r="L13" s="24"/>
      <c r="M13" s="25"/>
      <c r="N13" s="25"/>
      <c r="O13" s="25"/>
    </row>
    <row r="14" spans="1:19" ht="10.5" customHeight="1">
      <c r="A14" s="4" t="s">
        <v>40</v>
      </c>
      <c r="B14" s="38" t="s">
        <v>37</v>
      </c>
      <c r="C14" s="23" t="s">
        <v>20</v>
      </c>
      <c r="D14" s="23" t="s">
        <v>48</v>
      </c>
      <c r="E14" s="16">
        <f>703562+19700+1400+11646+19500+25000</f>
        <v>780808</v>
      </c>
      <c r="F14" s="19">
        <f aca="true" t="shared" si="8" ref="F14:F21">E14-(E14/1.12)</f>
        <v>83658.00000000012</v>
      </c>
      <c r="G14" s="19">
        <f aca="true" t="shared" si="9" ref="G14:G21">J14*132</f>
        <v>0</v>
      </c>
      <c r="H14" s="6">
        <f aca="true" t="shared" si="10" ref="H14:H21">E14/12</f>
        <v>65067.333333333336</v>
      </c>
      <c r="I14" s="28"/>
      <c r="J14" s="6">
        <v>0</v>
      </c>
      <c r="K14" s="28">
        <f aca="true" t="shared" si="11" ref="K14:K21">892+14+9</f>
        <v>915</v>
      </c>
      <c r="L14" s="19">
        <f>J14*146</f>
        <v>0</v>
      </c>
      <c r="M14" s="25">
        <f aca="true" t="shared" si="12" ref="M14:M21">E14/1752</f>
        <v>445.6666666666667</v>
      </c>
      <c r="N14" s="25">
        <f aca="true" t="shared" si="13" ref="N14:N21">M14*1.65</f>
        <v>735.35</v>
      </c>
      <c r="O14" s="25">
        <f t="shared" si="7"/>
        <v>332.9548717948718</v>
      </c>
      <c r="P14" s="25"/>
      <c r="Q14" s="30"/>
      <c r="R14" s="30"/>
      <c r="S14" s="30"/>
    </row>
    <row r="15" spans="1:19" ht="10.5" customHeight="1">
      <c r="A15" s="4" t="s">
        <v>41</v>
      </c>
      <c r="B15" s="23"/>
      <c r="C15" s="23" t="s">
        <v>47</v>
      </c>
      <c r="D15" s="23"/>
      <c r="E15" s="16">
        <f>708562+19700+1400+11646+19500+25000</f>
        <v>785808</v>
      </c>
      <c r="F15" s="19">
        <f t="shared" si="8"/>
        <v>84193.71428571432</v>
      </c>
      <c r="G15" s="19">
        <f t="shared" si="9"/>
        <v>0</v>
      </c>
      <c r="H15" s="6">
        <f t="shared" si="10"/>
        <v>65484</v>
      </c>
      <c r="I15" s="28"/>
      <c r="J15" s="6">
        <v>0</v>
      </c>
      <c r="K15" s="28">
        <f t="shared" si="11"/>
        <v>915</v>
      </c>
      <c r="L15" s="19">
        <f>J15*146</f>
        <v>0</v>
      </c>
      <c r="M15" s="25">
        <f t="shared" si="12"/>
        <v>448.52054794520546</v>
      </c>
      <c r="N15" s="25">
        <f t="shared" si="13"/>
        <v>740.058904109589</v>
      </c>
      <c r="O15" s="25">
        <f t="shared" si="7"/>
        <v>335.51897435897433</v>
      </c>
      <c r="P15" s="25"/>
      <c r="Q15" s="30"/>
      <c r="R15" s="30"/>
      <c r="S15" s="30"/>
    </row>
    <row r="16" spans="1:19" ht="10.5" customHeight="1">
      <c r="A16" s="4" t="s">
        <v>42</v>
      </c>
      <c r="B16" s="23"/>
      <c r="C16" s="30"/>
      <c r="D16" s="26"/>
      <c r="E16" s="16">
        <f>713562+19700+1400+11646+19500+25000</f>
        <v>790808</v>
      </c>
      <c r="F16" s="19">
        <f t="shared" si="8"/>
        <v>84729.42857142864</v>
      </c>
      <c r="G16" s="19">
        <f t="shared" si="9"/>
        <v>0</v>
      </c>
      <c r="H16" s="6">
        <f t="shared" si="10"/>
        <v>65900.66666666667</v>
      </c>
      <c r="I16" s="28"/>
      <c r="J16" s="6">
        <v>0</v>
      </c>
      <c r="K16" s="28">
        <f t="shared" si="11"/>
        <v>915</v>
      </c>
      <c r="L16" s="19">
        <f>J16*146</f>
        <v>0</v>
      </c>
      <c r="M16" s="25">
        <f t="shared" si="12"/>
        <v>451.3744292237443</v>
      </c>
      <c r="N16" s="25">
        <f t="shared" si="13"/>
        <v>744.767808219178</v>
      </c>
      <c r="O16" s="25">
        <f t="shared" si="7"/>
        <v>338.08307692307693</v>
      </c>
      <c r="P16" s="25"/>
      <c r="Q16" s="30"/>
      <c r="R16" s="30"/>
      <c r="S16" s="30"/>
    </row>
    <row r="17" spans="1:19" ht="10.5" customHeight="1">
      <c r="A17" s="4" t="s">
        <v>43</v>
      </c>
      <c r="B17" s="23"/>
      <c r="C17" s="30"/>
      <c r="D17" s="26"/>
      <c r="E17" s="16">
        <f>718562+19700+1400+11646+19500+25000</f>
        <v>795808</v>
      </c>
      <c r="F17" s="19">
        <f t="shared" si="8"/>
        <v>85265.14285714296</v>
      </c>
      <c r="G17" s="19">
        <f t="shared" si="9"/>
        <v>0</v>
      </c>
      <c r="H17" s="6">
        <f t="shared" si="10"/>
        <v>66317.33333333333</v>
      </c>
      <c r="I17" s="28"/>
      <c r="J17" s="6">
        <v>0</v>
      </c>
      <c r="K17" s="28">
        <f t="shared" si="11"/>
        <v>915</v>
      </c>
      <c r="L17" s="19">
        <f>J17*146</f>
        <v>0</v>
      </c>
      <c r="M17" s="25">
        <f t="shared" si="12"/>
        <v>454.2283105022831</v>
      </c>
      <c r="N17" s="25">
        <f t="shared" si="13"/>
        <v>749.476712328767</v>
      </c>
      <c r="O17" s="25">
        <f t="shared" si="7"/>
        <v>340.64717948717947</v>
      </c>
      <c r="P17" s="25"/>
      <c r="Q17" s="30"/>
      <c r="R17" s="30"/>
      <c r="S17" s="30"/>
    </row>
    <row r="18" spans="1:19" ht="10.5" customHeight="1">
      <c r="A18" s="4" t="s">
        <v>44</v>
      </c>
      <c r="B18" s="23"/>
      <c r="C18" s="30"/>
      <c r="D18" s="26"/>
      <c r="E18" s="16">
        <f>723562+19700+1400+11646+19500+25000</f>
        <v>800808</v>
      </c>
      <c r="F18" s="19">
        <f t="shared" si="8"/>
        <v>85800.85714285716</v>
      </c>
      <c r="G18" s="19">
        <f t="shared" si="9"/>
        <v>0</v>
      </c>
      <c r="H18" s="6">
        <f t="shared" si="10"/>
        <v>66734</v>
      </c>
      <c r="I18" s="28"/>
      <c r="J18" s="6">
        <v>0</v>
      </c>
      <c r="K18" s="28">
        <f t="shared" si="11"/>
        <v>915</v>
      </c>
      <c r="L18" s="19">
        <f>J18*146</f>
        <v>0</v>
      </c>
      <c r="M18" s="25">
        <f t="shared" si="12"/>
        <v>457.0821917808219</v>
      </c>
      <c r="N18" s="25">
        <f t="shared" si="13"/>
        <v>754.1856164383561</v>
      </c>
      <c r="O18" s="25">
        <f t="shared" si="7"/>
        <v>343.21128205128207</v>
      </c>
      <c r="P18" s="25"/>
      <c r="Q18" s="30"/>
      <c r="R18" s="30"/>
      <c r="S18" s="30"/>
    </row>
    <row r="19" spans="1:19" ht="10.5" customHeight="1">
      <c r="A19" s="4" t="s">
        <v>45</v>
      </c>
      <c r="B19" s="23"/>
      <c r="C19" s="30"/>
      <c r="D19" s="26"/>
      <c r="E19" s="16">
        <f>728562+19700+1400+11646+19500+25000</f>
        <v>805808</v>
      </c>
      <c r="F19" s="19">
        <f t="shared" si="8"/>
        <v>86336.57142857148</v>
      </c>
      <c r="G19" s="19">
        <f t="shared" si="9"/>
        <v>0</v>
      </c>
      <c r="H19" s="6">
        <f t="shared" si="10"/>
        <v>67150.66666666667</v>
      </c>
      <c r="I19" s="28"/>
      <c r="J19" s="6">
        <v>0</v>
      </c>
      <c r="K19" s="28">
        <f t="shared" si="11"/>
        <v>915</v>
      </c>
      <c r="L19" s="19"/>
      <c r="M19" s="25">
        <f t="shared" si="12"/>
        <v>459.93607305936075</v>
      </c>
      <c r="N19" s="25">
        <f t="shared" si="13"/>
        <v>758.8945205479451</v>
      </c>
      <c r="O19" s="25">
        <f t="shared" si="7"/>
        <v>345.7753846153846</v>
      </c>
      <c r="P19" s="25"/>
      <c r="Q19" s="30"/>
      <c r="R19" s="30"/>
      <c r="S19" s="30"/>
    </row>
    <row r="20" spans="1:19" ht="10.5" customHeight="1">
      <c r="A20" s="4" t="s">
        <v>46</v>
      </c>
      <c r="B20" s="23"/>
      <c r="C20" s="30"/>
      <c r="D20" s="26"/>
      <c r="E20" s="16">
        <f>733562+19700+1400+11646+19500+25000</f>
        <v>810808</v>
      </c>
      <c r="F20" s="19">
        <f t="shared" si="8"/>
        <v>86872.2857142858</v>
      </c>
      <c r="G20" s="19">
        <f t="shared" si="9"/>
        <v>0</v>
      </c>
      <c r="H20" s="6">
        <f t="shared" si="10"/>
        <v>67567.33333333333</v>
      </c>
      <c r="I20" s="28"/>
      <c r="J20" s="6">
        <v>0</v>
      </c>
      <c r="K20" s="28">
        <f t="shared" si="11"/>
        <v>915</v>
      </c>
      <c r="L20" s="19"/>
      <c r="M20" s="25">
        <f t="shared" si="12"/>
        <v>462.78995433789953</v>
      </c>
      <c r="N20" s="25">
        <f t="shared" si="13"/>
        <v>763.6034246575342</v>
      </c>
      <c r="O20" s="25">
        <f t="shared" si="7"/>
        <v>348.3394871794872</v>
      </c>
      <c r="P20" s="25"/>
      <c r="Q20" s="30"/>
      <c r="R20" s="30"/>
      <c r="S20" s="30"/>
    </row>
    <row r="21" spans="1:19" ht="10.5" customHeight="1">
      <c r="A21" s="4" t="s">
        <v>64</v>
      </c>
      <c r="B21" s="23"/>
      <c r="C21" s="30"/>
      <c r="D21" s="26"/>
      <c r="E21" s="16">
        <f>738562+19700+1400+11646+19500+25000</f>
        <v>815808</v>
      </c>
      <c r="F21" s="19">
        <f t="shared" si="8"/>
        <v>87408.00000000012</v>
      </c>
      <c r="G21" s="19">
        <f t="shared" si="9"/>
        <v>0</v>
      </c>
      <c r="H21" s="6">
        <f t="shared" si="10"/>
        <v>67984</v>
      </c>
      <c r="I21" s="28"/>
      <c r="J21" s="6">
        <v>0</v>
      </c>
      <c r="K21" s="28">
        <f t="shared" si="11"/>
        <v>915</v>
      </c>
      <c r="L21" s="19"/>
      <c r="M21" s="25">
        <f t="shared" si="12"/>
        <v>465.64383561643837</v>
      </c>
      <c r="N21" s="25">
        <f t="shared" si="13"/>
        <v>768.3123287671233</v>
      </c>
      <c r="O21" s="25">
        <f t="shared" si="7"/>
        <v>350.90358974358975</v>
      </c>
      <c r="P21" s="25"/>
      <c r="Q21" s="30"/>
      <c r="R21" s="30"/>
      <c r="S21" s="30"/>
    </row>
    <row r="22" spans="2:19" ht="10.5" customHeight="1">
      <c r="B22" s="23"/>
      <c r="C22" s="30"/>
      <c r="D22" s="26"/>
      <c r="P22" s="25"/>
      <c r="Q22" s="30"/>
      <c r="R22" s="30"/>
      <c r="S22" s="30"/>
    </row>
    <row r="23" ht="12" customHeight="1"/>
    <row r="24" ht="12" customHeight="1">
      <c r="A24" s="39" t="s">
        <v>69</v>
      </c>
    </row>
    <row r="25" spans="1:4" ht="12" customHeight="1">
      <c r="A25" s="39" t="s">
        <v>69</v>
      </c>
      <c r="B25" s="40" t="s">
        <v>70</v>
      </c>
      <c r="C25" s="40" t="s">
        <v>71</v>
      </c>
      <c r="D25" s="40" t="s">
        <v>72</v>
      </c>
    </row>
    <row r="26" spans="1:4" ht="12" customHeight="1">
      <c r="A26" s="39" t="s">
        <v>69</v>
      </c>
      <c r="B26" s="40"/>
      <c r="C26" s="40" t="s">
        <v>73</v>
      </c>
      <c r="D26" s="40" t="s">
        <v>74</v>
      </c>
    </row>
    <row r="27" spans="1:4" ht="12" customHeight="1">
      <c r="A27" s="39"/>
      <c r="B27" s="40"/>
      <c r="C27" s="40" t="s">
        <v>20</v>
      </c>
      <c r="D27" s="40" t="s">
        <v>48</v>
      </c>
    </row>
    <row r="28" spans="1:4" ht="12" customHeight="1">
      <c r="A28" s="39"/>
      <c r="B28" s="40"/>
      <c r="C28" s="40" t="s">
        <v>47</v>
      </c>
      <c r="D28" s="41"/>
    </row>
    <row r="29" spans="2:4" ht="12" customHeight="1">
      <c r="B29" s="40"/>
      <c r="C29" s="40" t="s">
        <v>75</v>
      </c>
      <c r="D29" s="40" t="s">
        <v>76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E24" sqref="E24"/>
    </sheetView>
  </sheetViews>
  <sheetFormatPr defaultColWidth="10.421875" defaultRowHeight="12" customHeight="1"/>
  <cols>
    <col min="1" max="1" width="10.140625" style="10" customWidth="1"/>
    <col min="2" max="2" width="20.421875" style="29" customWidth="1"/>
    <col min="3" max="3" width="17.00390625" style="29" customWidth="1"/>
    <col min="4" max="4" width="8.28125" style="29" bestFit="1" customWidth="1"/>
    <col min="5" max="5" width="8.7109375" style="31" bestFit="1" customWidth="1"/>
    <col min="6" max="6" width="6.57421875" style="32" bestFit="1" customWidth="1"/>
    <col min="7" max="7" width="7.140625" style="32" customWidth="1"/>
    <col min="8" max="8" width="7.7109375" style="33" bestFit="1" customWidth="1"/>
    <col min="9" max="9" width="0.85546875" style="34" customWidth="1"/>
    <col min="10" max="10" width="6.00390625" style="33" bestFit="1" customWidth="1"/>
    <col min="11" max="11" width="10.421875" style="35" hidden="1" customWidth="1"/>
    <col min="12" max="12" width="10.421875" style="26" hidden="1" customWidth="1"/>
    <col min="13" max="13" width="10.00390625" style="36" bestFit="1" customWidth="1"/>
    <col min="14" max="14" width="8.28125" style="36" bestFit="1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34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</v>
      </c>
      <c r="B4" s="23" t="s">
        <v>23</v>
      </c>
      <c r="C4" s="23" t="s">
        <v>20</v>
      </c>
      <c r="D4" s="23" t="s">
        <v>22</v>
      </c>
      <c r="E4" s="16">
        <f>487588*1.045</f>
        <v>509529.45999999996</v>
      </c>
      <c r="F4" s="19">
        <f aca="true" t="shared" si="0" ref="F4:F12">E4-(E4/1.12)</f>
        <v>54592.44214285718</v>
      </c>
      <c r="G4" s="19">
        <f aca="true" t="shared" si="1" ref="G4:G12">J4*132</f>
        <v>0</v>
      </c>
      <c r="H4" s="6">
        <f>E4/12</f>
        <v>42460.78833333333</v>
      </c>
      <c r="I4" s="6"/>
      <c r="J4" s="6">
        <v>0</v>
      </c>
      <c r="K4" s="19">
        <f aca="true" t="shared" si="2" ref="K4:K12">J4*146</f>
        <v>0</v>
      </c>
      <c r="L4" s="24">
        <f aca="true" t="shared" si="3" ref="L4:L12">(E4-K4)/12</f>
        <v>42460.78833333333</v>
      </c>
      <c r="M4" s="25">
        <f aca="true" t="shared" si="4" ref="M4:M12">E4/1752</f>
        <v>290.82731735159814</v>
      </c>
      <c r="N4" s="25">
        <f aca="true" t="shared" si="5" ref="N4:N12">M4*1.65</f>
        <v>479.8650736301369</v>
      </c>
      <c r="O4" s="25">
        <f aca="true" t="shared" si="6" ref="O4:O12">H4/162.5</f>
        <v>261.297158974359</v>
      </c>
    </row>
    <row r="5" spans="1:15" ht="10.5" customHeight="1">
      <c r="A5" s="4" t="s">
        <v>2</v>
      </c>
      <c r="B5" s="23"/>
      <c r="C5" s="23" t="s">
        <v>21</v>
      </c>
      <c r="D5" s="23"/>
      <c r="E5" s="16">
        <f>499565*1.045+1</f>
        <v>522046.425</v>
      </c>
      <c r="F5" s="19">
        <f t="shared" si="0"/>
        <v>55933.54553571431</v>
      </c>
      <c r="G5" s="19">
        <f t="shared" si="1"/>
        <v>0</v>
      </c>
      <c r="H5" s="6">
        <f aca="true" t="shared" si="7" ref="H5:H12">E5/12</f>
        <v>43503.86875</v>
      </c>
      <c r="I5" s="6"/>
      <c r="J5" s="6">
        <v>0</v>
      </c>
      <c r="K5" s="19">
        <f t="shared" si="2"/>
        <v>0</v>
      </c>
      <c r="L5" s="24">
        <f t="shared" si="3"/>
        <v>43503.86875</v>
      </c>
      <c r="M5" s="25">
        <f t="shared" si="4"/>
        <v>297.9717037671233</v>
      </c>
      <c r="N5" s="25">
        <f t="shared" si="5"/>
        <v>491.65331121575343</v>
      </c>
      <c r="O5" s="25">
        <f t="shared" si="6"/>
        <v>267.7161153846154</v>
      </c>
    </row>
    <row r="6" spans="1:15" ht="10.5" customHeight="1">
      <c r="A6" s="4" t="s">
        <v>12</v>
      </c>
      <c r="B6" s="23" t="s">
        <v>25</v>
      </c>
      <c r="C6" s="23" t="s">
        <v>28</v>
      </c>
      <c r="D6" s="23" t="s">
        <v>27</v>
      </c>
      <c r="E6" s="16">
        <f>511541*1.045</f>
        <v>534560.345</v>
      </c>
      <c r="F6" s="19">
        <f t="shared" si="0"/>
        <v>57274.32267857145</v>
      </c>
      <c r="G6" s="19">
        <f t="shared" si="1"/>
        <v>0</v>
      </c>
      <c r="H6" s="6">
        <f t="shared" si="7"/>
        <v>44546.69541666666</v>
      </c>
      <c r="I6" s="6"/>
      <c r="J6" s="6">
        <v>0</v>
      </c>
      <c r="K6" s="19">
        <f t="shared" si="2"/>
        <v>0</v>
      </c>
      <c r="L6" s="24">
        <f t="shared" si="3"/>
        <v>44546.69541666666</v>
      </c>
      <c r="M6" s="25">
        <f t="shared" si="4"/>
        <v>305.1143521689498</v>
      </c>
      <c r="N6" s="25">
        <f t="shared" si="5"/>
        <v>503.4386810787671</v>
      </c>
      <c r="O6" s="25">
        <f t="shared" si="6"/>
        <v>274.1335102564102</v>
      </c>
    </row>
    <row r="7" spans="1:15" ht="10.5" customHeight="1">
      <c r="A7" s="4" t="s">
        <v>13</v>
      </c>
      <c r="B7" s="23" t="s">
        <v>26</v>
      </c>
      <c r="C7" s="23" t="s">
        <v>24</v>
      </c>
      <c r="D7" s="23"/>
      <c r="E7" s="16">
        <f>523519*1.045</f>
        <v>547077.355</v>
      </c>
      <c r="F7" s="19">
        <f t="shared" si="0"/>
        <v>58615.4308928572</v>
      </c>
      <c r="G7" s="19">
        <f t="shared" si="1"/>
        <v>0</v>
      </c>
      <c r="H7" s="6">
        <f t="shared" si="7"/>
        <v>45589.77958333333</v>
      </c>
      <c r="I7" s="6"/>
      <c r="J7" s="6">
        <v>0</v>
      </c>
      <c r="K7" s="19">
        <f t="shared" si="2"/>
        <v>0</v>
      </c>
      <c r="L7" s="24">
        <f t="shared" si="3"/>
        <v>45589.77958333333</v>
      </c>
      <c r="M7" s="25">
        <f t="shared" si="4"/>
        <v>312.25876426940636</v>
      </c>
      <c r="N7" s="25">
        <f t="shared" si="5"/>
        <v>515.2269610445204</v>
      </c>
      <c r="O7" s="25">
        <f t="shared" si="6"/>
        <v>280.5524897435897</v>
      </c>
    </row>
    <row r="8" spans="1:15" ht="10.5" customHeight="1">
      <c r="A8" s="4" t="s">
        <v>3</v>
      </c>
      <c r="B8" s="23" t="s">
        <v>29</v>
      </c>
      <c r="C8" s="23"/>
      <c r="D8" s="23"/>
      <c r="E8" s="16">
        <f>535495*1.045+1</f>
        <v>559593.2749999999</v>
      </c>
      <c r="F8" s="19">
        <f t="shared" si="0"/>
        <v>59956.4223214286</v>
      </c>
      <c r="G8" s="19">
        <f t="shared" si="1"/>
        <v>0</v>
      </c>
      <c r="H8" s="6">
        <f t="shared" si="7"/>
        <v>46632.77291666666</v>
      </c>
      <c r="I8" s="6"/>
      <c r="J8" s="6">
        <v>0</v>
      </c>
      <c r="K8" s="19">
        <f t="shared" si="2"/>
        <v>0</v>
      </c>
      <c r="L8" s="24">
        <f t="shared" si="3"/>
        <v>46632.77291666666</v>
      </c>
      <c r="M8" s="25">
        <f t="shared" si="4"/>
        <v>319.40255422374423</v>
      </c>
      <c r="N8" s="25">
        <f t="shared" si="5"/>
        <v>527.014214469178</v>
      </c>
      <c r="O8" s="25">
        <f t="shared" si="6"/>
        <v>286.9709102564102</v>
      </c>
    </row>
    <row r="9" spans="1:15" ht="10.5" customHeight="1">
      <c r="A9" s="4" t="s">
        <v>14</v>
      </c>
      <c r="B9" s="23"/>
      <c r="C9" s="23"/>
      <c r="D9" s="23"/>
      <c r="E9" s="16">
        <f>547472*1.045</f>
        <v>572108.24</v>
      </c>
      <c r="F9" s="19">
        <f t="shared" si="0"/>
        <v>61297.31142857147</v>
      </c>
      <c r="G9" s="19">
        <f t="shared" si="1"/>
        <v>0</v>
      </c>
      <c r="H9" s="6">
        <f t="shared" si="7"/>
        <v>47675.68666666667</v>
      </c>
      <c r="I9" s="6"/>
      <c r="J9" s="6">
        <v>0</v>
      </c>
      <c r="K9" s="19">
        <f t="shared" si="2"/>
        <v>0</v>
      </c>
      <c r="L9" s="24">
        <f t="shared" si="3"/>
        <v>47675.68666666667</v>
      </c>
      <c r="M9" s="25">
        <f t="shared" si="4"/>
        <v>326.545799086758</v>
      </c>
      <c r="N9" s="25">
        <f t="shared" si="5"/>
        <v>538.8005684931506</v>
      </c>
      <c r="O9" s="25">
        <f t="shared" si="6"/>
        <v>293.38884102564106</v>
      </c>
    </row>
    <row r="10" spans="1:15" ht="10.5" customHeight="1">
      <c r="A10" s="4" t="s">
        <v>15</v>
      </c>
      <c r="B10" s="23"/>
      <c r="C10" s="23"/>
      <c r="D10" s="23"/>
      <c r="E10" s="16">
        <f>559449*1.045+1</f>
        <v>584625.205</v>
      </c>
      <c r="F10" s="19">
        <f t="shared" si="0"/>
        <v>62638.414821428596</v>
      </c>
      <c r="G10" s="19">
        <f t="shared" si="1"/>
        <v>0</v>
      </c>
      <c r="H10" s="6">
        <f t="shared" si="7"/>
        <v>48718.76708333333</v>
      </c>
      <c r="I10" s="6"/>
      <c r="J10" s="6">
        <v>0</v>
      </c>
      <c r="K10" s="19">
        <f t="shared" si="2"/>
        <v>0</v>
      </c>
      <c r="L10" s="24">
        <f t="shared" si="3"/>
        <v>48718.76708333333</v>
      </c>
      <c r="M10" s="25">
        <f t="shared" si="4"/>
        <v>333.6901855022831</v>
      </c>
      <c r="N10" s="25">
        <f t="shared" si="5"/>
        <v>550.5888060787671</v>
      </c>
      <c r="O10" s="25">
        <f t="shared" si="6"/>
        <v>299.80779743589744</v>
      </c>
    </row>
    <row r="11" spans="1:15" ht="10.5" customHeight="1">
      <c r="A11" s="4" t="s">
        <v>16</v>
      </c>
      <c r="B11" s="23"/>
      <c r="C11" s="23"/>
      <c r="D11" s="23"/>
      <c r="E11" s="16">
        <f>575150*1.045-1</f>
        <v>601030.75</v>
      </c>
      <c r="F11" s="19">
        <f t="shared" si="0"/>
        <v>64396.15178571432</v>
      </c>
      <c r="G11" s="19">
        <f t="shared" si="1"/>
        <v>0</v>
      </c>
      <c r="H11" s="6">
        <f t="shared" si="7"/>
        <v>50085.895833333336</v>
      </c>
      <c r="I11" s="6"/>
      <c r="J11" s="6">
        <v>0</v>
      </c>
      <c r="K11" s="19">
        <f t="shared" si="2"/>
        <v>0</v>
      </c>
      <c r="L11" s="24">
        <f t="shared" si="3"/>
        <v>50085.895833333336</v>
      </c>
      <c r="M11" s="25">
        <f t="shared" si="4"/>
        <v>343.0540810502283</v>
      </c>
      <c r="N11" s="25">
        <f t="shared" si="5"/>
        <v>566.0392337328767</v>
      </c>
      <c r="O11" s="25">
        <f t="shared" si="6"/>
        <v>308.2208974358974</v>
      </c>
    </row>
    <row r="12" spans="1:15" ht="10.5" customHeight="1">
      <c r="A12" s="4" t="s">
        <v>30</v>
      </c>
      <c r="B12" s="23"/>
      <c r="C12" s="23"/>
      <c r="D12" s="23"/>
      <c r="E12" s="16">
        <f>590315*1.045</f>
        <v>616879.1749999999</v>
      </c>
      <c r="F12" s="19">
        <f t="shared" si="0"/>
        <v>66094.19732142857</v>
      </c>
      <c r="G12" s="19">
        <f t="shared" si="1"/>
        <v>0</v>
      </c>
      <c r="H12" s="6">
        <f t="shared" si="7"/>
        <v>51406.59791666666</v>
      </c>
      <c r="I12" s="6"/>
      <c r="J12" s="6">
        <v>0</v>
      </c>
      <c r="K12" s="19">
        <f t="shared" si="2"/>
        <v>0</v>
      </c>
      <c r="L12" s="24">
        <f t="shared" si="3"/>
        <v>51406.59791666666</v>
      </c>
      <c r="M12" s="25">
        <f t="shared" si="4"/>
        <v>352.0999857305936</v>
      </c>
      <c r="N12" s="25">
        <f t="shared" si="5"/>
        <v>580.9649764554794</v>
      </c>
      <c r="O12" s="25">
        <f t="shared" si="6"/>
        <v>316.34829487179485</v>
      </c>
    </row>
    <row r="13" spans="1:15" ht="10.5" customHeight="1">
      <c r="A13" s="4" t="s">
        <v>35</v>
      </c>
      <c r="B13" s="23"/>
      <c r="C13" s="23"/>
      <c r="D13" s="23"/>
      <c r="E13" s="16">
        <f>590315*1.045+12500</f>
        <v>629379.1749999999</v>
      </c>
      <c r="F13" s="19">
        <f>E13-(E13/1.12)</f>
        <v>67433.48303571437</v>
      </c>
      <c r="G13" s="19">
        <f>J13*132</f>
        <v>0</v>
      </c>
      <c r="H13" s="6">
        <f>E13/12</f>
        <v>52448.26458333333</v>
      </c>
      <c r="I13" s="6"/>
      <c r="J13" s="6">
        <v>0</v>
      </c>
      <c r="K13" s="19">
        <f>J13*146</f>
        <v>0</v>
      </c>
      <c r="L13" s="24">
        <f>(E13-K13)/12</f>
        <v>52448.26458333333</v>
      </c>
      <c r="M13" s="25">
        <f>E13/1752</f>
        <v>359.2346889269406</v>
      </c>
      <c r="N13" s="25">
        <f>M13*1.65</f>
        <v>592.7372367294519</v>
      </c>
      <c r="O13" s="25">
        <f>H13/162.5</f>
        <v>322.75855128205126</v>
      </c>
    </row>
    <row r="14" spans="1:15" ht="10.5" customHeight="1">
      <c r="A14" s="4"/>
      <c r="B14" s="23"/>
      <c r="C14" s="23"/>
      <c r="D14" s="23"/>
      <c r="E14" s="20"/>
      <c r="F14" s="16"/>
      <c r="G14" s="16"/>
      <c r="H14" s="27"/>
      <c r="I14" s="28"/>
      <c r="J14" s="6"/>
      <c r="K14" s="19"/>
      <c r="L14" s="24"/>
      <c r="M14" s="25"/>
      <c r="N14" s="25"/>
      <c r="O14" s="25"/>
    </row>
    <row r="15" spans="1:19" ht="10.5" customHeight="1">
      <c r="A15" s="4" t="s">
        <v>36</v>
      </c>
      <c r="B15" s="38" t="s">
        <v>37</v>
      </c>
      <c r="C15" s="23" t="s">
        <v>20</v>
      </c>
      <c r="D15" s="23" t="s">
        <v>48</v>
      </c>
      <c r="E15" s="16">
        <f>520519*1.045</f>
        <v>543942.355</v>
      </c>
      <c r="F15" s="19">
        <f aca="true" t="shared" si="8" ref="F15:F24">E15-(E15/1.12)</f>
        <v>58279.53803571436</v>
      </c>
      <c r="G15" s="19">
        <f aca="true" t="shared" si="9" ref="G15:G23">J15*132</f>
        <v>0</v>
      </c>
      <c r="H15" s="6">
        <f>E15/12</f>
        <v>45328.52958333333</v>
      </c>
      <c r="I15" s="28"/>
      <c r="J15" s="6">
        <v>0</v>
      </c>
      <c r="K15" s="28">
        <f>892+14+9</f>
        <v>915</v>
      </c>
      <c r="L15" s="19">
        <f>J15*146</f>
        <v>0</v>
      </c>
      <c r="M15" s="25">
        <f aca="true" t="shared" si="10" ref="M15:M24">E15/1752</f>
        <v>310.4693807077625</v>
      </c>
      <c r="N15" s="25">
        <f aca="true" t="shared" si="11" ref="N15:N24">M15*1.65</f>
        <v>512.2744781678082</v>
      </c>
      <c r="O15" s="25">
        <f aca="true" t="shared" si="12" ref="O15:O24">H15/162.5</f>
        <v>278.9447974358974</v>
      </c>
      <c r="P15" s="25"/>
      <c r="Q15" s="30"/>
      <c r="R15" s="30"/>
      <c r="S15" s="30"/>
    </row>
    <row r="16" spans="1:19" ht="10.5" customHeight="1">
      <c r="A16" s="4" t="s">
        <v>38</v>
      </c>
      <c r="B16" s="23"/>
      <c r="C16" s="23" t="s">
        <v>47</v>
      </c>
      <c r="D16" s="23"/>
      <c r="E16" s="16">
        <f>532885*1.045</f>
        <v>556864.825</v>
      </c>
      <c r="F16" s="19">
        <f t="shared" si="8"/>
        <v>59664.08839285717</v>
      </c>
      <c r="G16" s="19">
        <f t="shared" si="9"/>
        <v>0</v>
      </c>
      <c r="H16" s="6">
        <f aca="true" t="shared" si="13" ref="H16:H24">E16/12</f>
        <v>46405.40208333333</v>
      </c>
      <c r="I16" s="28"/>
      <c r="J16" s="6">
        <v>0</v>
      </c>
      <c r="K16" s="28">
        <f aca="true" t="shared" si="14" ref="K16:K24">892+14+9</f>
        <v>915</v>
      </c>
      <c r="L16" s="19">
        <f aca="true" t="shared" si="15" ref="L16:L21">J16*146</f>
        <v>0</v>
      </c>
      <c r="M16" s="25">
        <f t="shared" si="10"/>
        <v>317.8452197488584</v>
      </c>
      <c r="N16" s="25">
        <f t="shared" si="11"/>
        <v>524.4446125856164</v>
      </c>
      <c r="O16" s="25">
        <f t="shared" si="12"/>
        <v>285.5717051282051</v>
      </c>
      <c r="P16" s="25"/>
      <c r="Q16" s="30"/>
      <c r="R16" s="30"/>
      <c r="S16" s="30"/>
    </row>
    <row r="17" spans="1:19" ht="10.5" customHeight="1">
      <c r="A17" s="4" t="s">
        <v>39</v>
      </c>
      <c r="B17" s="23"/>
      <c r="C17" s="23"/>
      <c r="D17" s="23"/>
      <c r="E17" s="16">
        <f>545251*1.045</f>
        <v>569787.2949999999</v>
      </c>
      <c r="F17" s="19">
        <f t="shared" si="8"/>
        <v>61048.63875000004</v>
      </c>
      <c r="G17" s="19">
        <f t="shared" si="9"/>
        <v>0</v>
      </c>
      <c r="H17" s="6">
        <f t="shared" si="13"/>
        <v>47482.274583333325</v>
      </c>
      <c r="I17" s="28"/>
      <c r="J17" s="6">
        <v>0</v>
      </c>
      <c r="K17" s="28">
        <f t="shared" si="14"/>
        <v>915</v>
      </c>
      <c r="L17" s="19">
        <f t="shared" si="15"/>
        <v>0</v>
      </c>
      <c r="M17" s="25">
        <f t="shared" si="10"/>
        <v>325.22105878995427</v>
      </c>
      <c r="N17" s="25">
        <f t="shared" si="11"/>
        <v>536.6147470034246</v>
      </c>
      <c r="O17" s="25">
        <f t="shared" si="12"/>
        <v>292.1986128205128</v>
      </c>
      <c r="P17" s="25"/>
      <c r="Q17" s="30"/>
      <c r="R17" s="30"/>
      <c r="S17" s="30"/>
    </row>
    <row r="18" spans="1:19" ht="10.5" customHeight="1">
      <c r="A18" s="4" t="s">
        <v>40</v>
      </c>
      <c r="B18" s="23"/>
      <c r="C18" s="23"/>
      <c r="D18" s="23"/>
      <c r="E18" s="16">
        <f>557617*1.045</f>
        <v>582709.765</v>
      </c>
      <c r="F18" s="19">
        <f t="shared" si="8"/>
        <v>62433.18910714291</v>
      </c>
      <c r="G18" s="19">
        <f t="shared" si="9"/>
        <v>0</v>
      </c>
      <c r="H18" s="6">
        <f t="shared" si="13"/>
        <v>48559.14708333334</v>
      </c>
      <c r="I18" s="28"/>
      <c r="J18" s="6">
        <v>0</v>
      </c>
      <c r="K18" s="28">
        <f t="shared" si="14"/>
        <v>915</v>
      </c>
      <c r="L18" s="19">
        <f t="shared" si="15"/>
        <v>0</v>
      </c>
      <c r="M18" s="25">
        <f t="shared" si="10"/>
        <v>332.5968978310502</v>
      </c>
      <c r="N18" s="25">
        <f t="shared" si="11"/>
        <v>548.7848814212329</v>
      </c>
      <c r="O18" s="25">
        <f t="shared" si="12"/>
        <v>298.82552051282056</v>
      </c>
      <c r="P18" s="25"/>
      <c r="Q18" s="30"/>
      <c r="R18" s="30"/>
      <c r="S18" s="30"/>
    </row>
    <row r="19" spans="1:19" ht="10.5" customHeight="1">
      <c r="A19" s="4" t="s">
        <v>41</v>
      </c>
      <c r="B19" s="23"/>
      <c r="C19" s="30"/>
      <c r="D19" s="26"/>
      <c r="E19" s="16">
        <f>569983*1.045</f>
        <v>595632.235</v>
      </c>
      <c r="F19" s="19">
        <f t="shared" si="8"/>
        <v>63817.73946428578</v>
      </c>
      <c r="G19" s="19">
        <f t="shared" si="9"/>
        <v>0</v>
      </c>
      <c r="H19" s="6">
        <f t="shared" si="13"/>
        <v>49636.019583333335</v>
      </c>
      <c r="I19" s="28"/>
      <c r="J19" s="6">
        <v>0</v>
      </c>
      <c r="K19" s="28">
        <f t="shared" si="14"/>
        <v>915</v>
      </c>
      <c r="L19" s="19">
        <f t="shared" si="15"/>
        <v>0</v>
      </c>
      <c r="M19" s="25">
        <f t="shared" si="10"/>
        <v>339.97273687214613</v>
      </c>
      <c r="N19" s="25">
        <f t="shared" si="11"/>
        <v>560.955015839041</v>
      </c>
      <c r="O19" s="25">
        <f t="shared" si="12"/>
        <v>305.45242820512823</v>
      </c>
      <c r="P19" s="25"/>
      <c r="Q19" s="30"/>
      <c r="R19" s="30"/>
      <c r="S19" s="30"/>
    </row>
    <row r="20" spans="1:19" ht="10.5" customHeight="1">
      <c r="A20" s="4" t="s">
        <v>42</v>
      </c>
      <c r="B20" s="23"/>
      <c r="C20" s="30"/>
      <c r="D20" s="26"/>
      <c r="E20" s="16">
        <f>582349*1.045</f>
        <v>608554.705</v>
      </c>
      <c r="F20" s="19">
        <f t="shared" si="8"/>
        <v>65202.289821428596</v>
      </c>
      <c r="G20" s="19">
        <f t="shared" si="9"/>
        <v>0</v>
      </c>
      <c r="H20" s="6">
        <f t="shared" si="13"/>
        <v>50712.89208333333</v>
      </c>
      <c r="I20" s="28"/>
      <c r="J20" s="6">
        <v>0</v>
      </c>
      <c r="K20" s="28">
        <f t="shared" si="14"/>
        <v>915</v>
      </c>
      <c r="L20" s="19">
        <f t="shared" si="15"/>
        <v>0</v>
      </c>
      <c r="M20" s="25">
        <f t="shared" si="10"/>
        <v>347.348575913242</v>
      </c>
      <c r="N20" s="25">
        <f t="shared" si="11"/>
        <v>573.1251502568492</v>
      </c>
      <c r="O20" s="25">
        <f t="shared" si="12"/>
        <v>312.0793358974359</v>
      </c>
      <c r="P20" s="25"/>
      <c r="Q20" s="30"/>
      <c r="R20" s="30"/>
      <c r="S20" s="30"/>
    </row>
    <row r="21" spans="1:19" ht="10.5" customHeight="1">
      <c r="A21" s="4" t="s">
        <v>43</v>
      </c>
      <c r="B21" s="23"/>
      <c r="C21" s="30"/>
      <c r="D21" s="26"/>
      <c r="E21" s="16">
        <f>598088*1.045</f>
        <v>625001.96</v>
      </c>
      <c r="F21" s="19">
        <f t="shared" si="8"/>
        <v>66964.49571428576</v>
      </c>
      <c r="G21" s="19">
        <f t="shared" si="9"/>
        <v>0</v>
      </c>
      <c r="H21" s="6">
        <f t="shared" si="13"/>
        <v>52083.496666666666</v>
      </c>
      <c r="I21" s="28"/>
      <c r="J21" s="6">
        <v>0</v>
      </c>
      <c r="K21" s="28">
        <f t="shared" si="14"/>
        <v>915</v>
      </c>
      <c r="L21" s="19">
        <f t="shared" si="15"/>
        <v>0</v>
      </c>
      <c r="M21" s="25">
        <f t="shared" si="10"/>
        <v>356.73627853881277</v>
      </c>
      <c r="N21" s="25">
        <f t="shared" si="11"/>
        <v>588.6148595890411</v>
      </c>
      <c r="O21" s="25">
        <f t="shared" si="12"/>
        <v>320.5138256410256</v>
      </c>
      <c r="P21" s="25"/>
      <c r="Q21" s="30"/>
      <c r="R21" s="30"/>
      <c r="S21" s="30"/>
    </row>
    <row r="22" spans="1:19" ht="10.5" customHeight="1">
      <c r="A22" s="4" t="s">
        <v>44</v>
      </c>
      <c r="B22" s="23"/>
      <c r="C22" s="30"/>
      <c r="D22" s="26"/>
      <c r="E22" s="16">
        <f>613253*1.045</f>
        <v>640849.385</v>
      </c>
      <c r="F22" s="19">
        <f t="shared" si="8"/>
        <v>68662.43410714297</v>
      </c>
      <c r="G22" s="19">
        <f t="shared" si="9"/>
        <v>0</v>
      </c>
      <c r="H22" s="6">
        <f t="shared" si="13"/>
        <v>53404.11541666667</v>
      </c>
      <c r="I22" s="28"/>
      <c r="J22" s="6">
        <v>0</v>
      </c>
      <c r="K22" s="28">
        <f t="shared" si="14"/>
        <v>915</v>
      </c>
      <c r="L22" s="19">
        <f>J22*146</f>
        <v>0</v>
      </c>
      <c r="M22" s="25">
        <f t="shared" si="10"/>
        <v>365.7816124429224</v>
      </c>
      <c r="N22" s="25">
        <f t="shared" si="11"/>
        <v>603.539660530822</v>
      </c>
      <c r="O22" s="25">
        <f t="shared" si="12"/>
        <v>328.6407102564103</v>
      </c>
      <c r="P22" s="25"/>
      <c r="Q22" s="30"/>
      <c r="R22" s="30"/>
      <c r="S22" s="30"/>
    </row>
    <row r="23" spans="1:19" ht="10.5" customHeight="1">
      <c r="A23" s="4" t="s">
        <v>45</v>
      </c>
      <c r="B23" s="23"/>
      <c r="C23" s="30"/>
      <c r="D23" s="26"/>
      <c r="E23" s="16">
        <f>628418*1.045-1</f>
        <v>656695.8099999999</v>
      </c>
      <c r="F23" s="19">
        <f t="shared" si="8"/>
        <v>70360.2653571429</v>
      </c>
      <c r="G23" s="19">
        <f t="shared" si="9"/>
        <v>0</v>
      </c>
      <c r="H23" s="6">
        <f t="shared" si="13"/>
        <v>54724.650833333326</v>
      </c>
      <c r="I23" s="28"/>
      <c r="J23" s="6">
        <v>0</v>
      </c>
      <c r="K23" s="28">
        <f t="shared" si="14"/>
        <v>915</v>
      </c>
      <c r="L23" s="19"/>
      <c r="M23" s="25">
        <f t="shared" si="10"/>
        <v>374.82637557077624</v>
      </c>
      <c r="N23" s="25">
        <f t="shared" si="11"/>
        <v>618.4635196917808</v>
      </c>
      <c r="O23" s="25">
        <f t="shared" si="12"/>
        <v>336.767082051282</v>
      </c>
      <c r="P23" s="25"/>
      <c r="Q23" s="30"/>
      <c r="R23" s="30"/>
      <c r="S23" s="30"/>
    </row>
    <row r="24" spans="1:19" ht="10.5" customHeight="1">
      <c r="A24" s="4" t="s">
        <v>46</v>
      </c>
      <c r="B24" s="23"/>
      <c r="C24" s="30"/>
      <c r="D24" s="26"/>
      <c r="E24" s="16">
        <f>628418*1.045+12500-1</f>
        <v>669195.8099999999</v>
      </c>
      <c r="F24" s="19">
        <f t="shared" si="8"/>
        <v>71699.55107142858</v>
      </c>
      <c r="G24" s="19">
        <f>J24*132</f>
        <v>0</v>
      </c>
      <c r="H24" s="6">
        <f t="shared" si="13"/>
        <v>55766.3175</v>
      </c>
      <c r="I24" s="28"/>
      <c r="J24" s="6">
        <v>0</v>
      </c>
      <c r="K24" s="28">
        <f t="shared" si="14"/>
        <v>915</v>
      </c>
      <c r="L24" s="19"/>
      <c r="M24" s="25">
        <f t="shared" si="10"/>
        <v>381.96107876712324</v>
      </c>
      <c r="N24" s="25">
        <f t="shared" si="11"/>
        <v>630.2357799657533</v>
      </c>
      <c r="O24" s="25">
        <f t="shared" si="12"/>
        <v>343.17733846153845</v>
      </c>
      <c r="P24" s="25"/>
      <c r="Q24" s="30"/>
      <c r="R24" s="30"/>
      <c r="S24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O4" sqref="O4"/>
    </sheetView>
  </sheetViews>
  <sheetFormatPr defaultColWidth="10.421875" defaultRowHeight="12" customHeight="1"/>
  <cols>
    <col min="1" max="1" width="10.140625" style="10" customWidth="1"/>
    <col min="2" max="2" width="20.421875" style="29" customWidth="1"/>
    <col min="3" max="3" width="17.00390625" style="29" customWidth="1"/>
    <col min="4" max="4" width="8.28125" style="29" bestFit="1" customWidth="1"/>
    <col min="5" max="5" width="8.7109375" style="31" bestFit="1" customWidth="1"/>
    <col min="6" max="6" width="6.57421875" style="32" bestFit="1" customWidth="1"/>
    <col min="7" max="7" width="7.140625" style="32" customWidth="1"/>
    <col min="8" max="8" width="7.7109375" style="33" bestFit="1" customWidth="1"/>
    <col min="9" max="9" width="0.85546875" style="34" customWidth="1"/>
    <col min="10" max="10" width="6.00390625" style="33" bestFit="1" customWidth="1"/>
    <col min="11" max="11" width="10.421875" style="35" hidden="1" customWidth="1"/>
    <col min="12" max="12" width="10.421875" style="26" hidden="1" customWidth="1"/>
    <col min="13" max="13" width="10.00390625" style="36" bestFit="1" customWidth="1"/>
    <col min="14" max="14" width="8.28125" style="36" bestFit="1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49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2</v>
      </c>
      <c r="B4" s="23" t="s">
        <v>23</v>
      </c>
      <c r="C4" s="23" t="s">
        <v>20</v>
      </c>
      <c r="D4" s="23" t="s">
        <v>22</v>
      </c>
      <c r="E4" s="16">
        <f>522046+10000</f>
        <v>532046</v>
      </c>
      <c r="F4" s="19">
        <f aca="true" t="shared" si="0" ref="F4:F11">E4-(E4/1.12)</f>
        <v>57004.92857142864</v>
      </c>
      <c r="G4" s="19">
        <f aca="true" t="shared" si="1" ref="G4:G11">J4*132</f>
        <v>0</v>
      </c>
      <c r="H4" s="6">
        <f aca="true" t="shared" si="2" ref="H4:H11">E4/12</f>
        <v>44337.166666666664</v>
      </c>
      <c r="I4" s="6"/>
      <c r="J4" s="6">
        <v>0</v>
      </c>
      <c r="K4" s="19">
        <f aca="true" t="shared" si="3" ref="K4:K11">J4*146</f>
        <v>0</v>
      </c>
      <c r="L4" s="24">
        <f aca="true" t="shared" si="4" ref="L4:L11">(E4-K4)/12</f>
        <v>44337.166666666664</v>
      </c>
      <c r="M4" s="25">
        <f aca="true" t="shared" si="5" ref="M4:M11">E4/1752</f>
        <v>303.67922374429224</v>
      </c>
      <c r="N4" s="25">
        <f aca="true" t="shared" si="6" ref="N4:N11">M4*1.65</f>
        <v>501.0707191780822</v>
      </c>
      <c r="O4" s="25">
        <f>(E4-(730*146))/1950</f>
        <v>218.18769230769232</v>
      </c>
    </row>
    <row r="5" spans="1:15" ht="10.5" customHeight="1">
      <c r="A5" s="4" t="s">
        <v>12</v>
      </c>
      <c r="B5" s="23"/>
      <c r="C5" s="23" t="s">
        <v>21</v>
      </c>
      <c r="D5" s="23"/>
      <c r="E5" s="16">
        <f>534560+10000</f>
        <v>544560</v>
      </c>
      <c r="F5" s="19">
        <f t="shared" si="0"/>
        <v>58345.71428571432</v>
      </c>
      <c r="G5" s="19">
        <f t="shared" si="1"/>
        <v>0</v>
      </c>
      <c r="H5" s="6">
        <f t="shared" si="2"/>
        <v>45380</v>
      </c>
      <c r="I5" s="6"/>
      <c r="J5" s="6">
        <v>0</v>
      </c>
      <c r="K5" s="19">
        <f t="shared" si="3"/>
        <v>0</v>
      </c>
      <c r="L5" s="24">
        <f t="shared" si="4"/>
        <v>45380</v>
      </c>
      <c r="M5" s="25">
        <f t="shared" si="5"/>
        <v>310.82191780821915</v>
      </c>
      <c r="N5" s="25">
        <f t="shared" si="6"/>
        <v>512.8561643835616</v>
      </c>
      <c r="O5" s="25">
        <f aca="true" t="shared" si="7" ref="O5:O22">(E5-(730*146))/1950</f>
        <v>224.6051282051282</v>
      </c>
    </row>
    <row r="6" spans="1:15" ht="10.5" customHeight="1">
      <c r="A6" s="4" t="s">
        <v>13</v>
      </c>
      <c r="B6" s="23" t="s">
        <v>25</v>
      </c>
      <c r="C6" s="23" t="s">
        <v>28</v>
      </c>
      <c r="D6" s="23" t="s">
        <v>27</v>
      </c>
      <c r="E6" s="16">
        <f>547077+10000</f>
        <v>557077</v>
      </c>
      <c r="F6" s="19">
        <f t="shared" si="0"/>
        <v>59686.82142857148</v>
      </c>
      <c r="G6" s="19">
        <f t="shared" si="1"/>
        <v>0</v>
      </c>
      <c r="H6" s="6">
        <f t="shared" si="2"/>
        <v>46423.083333333336</v>
      </c>
      <c r="I6" s="6"/>
      <c r="J6" s="6">
        <v>0</v>
      </c>
      <c r="K6" s="19">
        <f t="shared" si="3"/>
        <v>0</v>
      </c>
      <c r="L6" s="24">
        <f t="shared" si="4"/>
        <v>46423.083333333336</v>
      </c>
      <c r="M6" s="25">
        <f t="shared" si="5"/>
        <v>317.9663242009132</v>
      </c>
      <c r="N6" s="25">
        <f t="shared" si="6"/>
        <v>524.6444349315068</v>
      </c>
      <c r="O6" s="25">
        <f t="shared" si="7"/>
        <v>231.02410256410258</v>
      </c>
    </row>
    <row r="7" spans="1:15" ht="10.5" customHeight="1">
      <c r="A7" s="4" t="s">
        <v>3</v>
      </c>
      <c r="B7" s="23" t="s">
        <v>26</v>
      </c>
      <c r="C7" s="23" t="s">
        <v>24</v>
      </c>
      <c r="D7" s="23"/>
      <c r="E7" s="16">
        <f>559593+10000</f>
        <v>569593</v>
      </c>
      <c r="F7" s="19">
        <f t="shared" si="0"/>
        <v>61027.82142857148</v>
      </c>
      <c r="G7" s="19">
        <f t="shared" si="1"/>
        <v>0</v>
      </c>
      <c r="H7" s="6">
        <f t="shared" si="2"/>
        <v>47466.083333333336</v>
      </c>
      <c r="I7" s="6"/>
      <c r="J7" s="6">
        <v>0</v>
      </c>
      <c r="K7" s="19">
        <f t="shared" si="3"/>
        <v>0</v>
      </c>
      <c r="L7" s="24">
        <f t="shared" si="4"/>
        <v>47466.083333333336</v>
      </c>
      <c r="M7" s="25">
        <f t="shared" si="5"/>
        <v>325.1101598173516</v>
      </c>
      <c r="N7" s="25">
        <f t="shared" si="6"/>
        <v>536.4317636986301</v>
      </c>
      <c r="O7" s="25">
        <f t="shared" si="7"/>
        <v>237.4425641025641</v>
      </c>
    </row>
    <row r="8" spans="1:15" ht="10.5" customHeight="1">
      <c r="A8" s="4" t="s">
        <v>14</v>
      </c>
      <c r="B8" s="23" t="s">
        <v>29</v>
      </c>
      <c r="C8" s="23"/>
      <c r="D8" s="23"/>
      <c r="E8" s="16">
        <f>572108+10000</f>
        <v>582108</v>
      </c>
      <c r="F8" s="19">
        <f t="shared" si="0"/>
        <v>62368.71428571432</v>
      </c>
      <c r="G8" s="19">
        <f t="shared" si="1"/>
        <v>0</v>
      </c>
      <c r="H8" s="6">
        <f t="shared" si="2"/>
        <v>48509</v>
      </c>
      <c r="I8" s="6"/>
      <c r="J8" s="6">
        <v>0</v>
      </c>
      <c r="K8" s="19">
        <f t="shared" si="3"/>
        <v>0</v>
      </c>
      <c r="L8" s="24">
        <f t="shared" si="4"/>
        <v>48509</v>
      </c>
      <c r="M8" s="25">
        <f t="shared" si="5"/>
        <v>332.25342465753425</v>
      </c>
      <c r="N8" s="25">
        <f t="shared" si="6"/>
        <v>548.2181506849315</v>
      </c>
      <c r="O8" s="25">
        <f t="shared" si="7"/>
        <v>243.8605128205128</v>
      </c>
    </row>
    <row r="9" spans="1:15" ht="10.5" customHeight="1">
      <c r="A9" s="4" t="s">
        <v>15</v>
      </c>
      <c r="B9" s="23"/>
      <c r="C9" s="23"/>
      <c r="D9" s="23"/>
      <c r="E9" s="16">
        <f>584625+10000</f>
        <v>594625</v>
      </c>
      <c r="F9" s="19">
        <f t="shared" si="0"/>
        <v>63709.82142857148</v>
      </c>
      <c r="G9" s="19">
        <f t="shared" si="1"/>
        <v>0</v>
      </c>
      <c r="H9" s="6">
        <f t="shared" si="2"/>
        <v>49552.083333333336</v>
      </c>
      <c r="I9" s="6"/>
      <c r="J9" s="6">
        <v>0</v>
      </c>
      <c r="K9" s="19">
        <f t="shared" si="3"/>
        <v>0</v>
      </c>
      <c r="L9" s="24">
        <f t="shared" si="4"/>
        <v>49552.083333333336</v>
      </c>
      <c r="M9" s="25">
        <f t="shared" si="5"/>
        <v>339.3978310502283</v>
      </c>
      <c r="N9" s="25">
        <f t="shared" si="6"/>
        <v>560.0064212328767</v>
      </c>
      <c r="O9" s="25">
        <f t="shared" si="7"/>
        <v>250.27948717948718</v>
      </c>
    </row>
    <row r="10" spans="1:15" ht="10.5" customHeight="1">
      <c r="A10" s="4" t="s">
        <v>16</v>
      </c>
      <c r="B10" s="23"/>
      <c r="C10" s="23"/>
      <c r="D10" s="23"/>
      <c r="E10" s="16">
        <f>601031+10000</f>
        <v>611031</v>
      </c>
      <c r="F10" s="19">
        <f t="shared" si="0"/>
        <v>65467.60714285716</v>
      </c>
      <c r="G10" s="19">
        <f t="shared" si="1"/>
        <v>0</v>
      </c>
      <c r="H10" s="6">
        <f t="shared" si="2"/>
        <v>50919.25</v>
      </c>
      <c r="I10" s="6"/>
      <c r="J10" s="6">
        <v>0</v>
      </c>
      <c r="K10" s="19">
        <f t="shared" si="3"/>
        <v>0</v>
      </c>
      <c r="L10" s="24">
        <f t="shared" si="4"/>
        <v>50919.25</v>
      </c>
      <c r="M10" s="25">
        <f t="shared" si="5"/>
        <v>348.76198630136986</v>
      </c>
      <c r="N10" s="25">
        <f t="shared" si="6"/>
        <v>575.4572773972602</v>
      </c>
      <c r="O10" s="25">
        <f t="shared" si="7"/>
        <v>258.6928205128205</v>
      </c>
    </row>
    <row r="11" spans="1:15" ht="10.5" customHeight="1">
      <c r="A11" s="4" t="s">
        <v>30</v>
      </c>
      <c r="B11" s="23"/>
      <c r="C11" s="23"/>
      <c r="D11" s="23"/>
      <c r="E11" s="16">
        <f>616879+10000</f>
        <v>626879</v>
      </c>
      <c r="F11" s="19">
        <f t="shared" si="0"/>
        <v>67165.60714285716</v>
      </c>
      <c r="G11" s="19">
        <f t="shared" si="1"/>
        <v>0</v>
      </c>
      <c r="H11" s="6">
        <f t="shared" si="2"/>
        <v>52239.916666666664</v>
      </c>
      <c r="I11" s="6"/>
      <c r="J11" s="6">
        <v>0</v>
      </c>
      <c r="K11" s="19">
        <f t="shared" si="3"/>
        <v>0</v>
      </c>
      <c r="L11" s="24">
        <f t="shared" si="4"/>
        <v>52239.916666666664</v>
      </c>
      <c r="M11" s="25">
        <f t="shared" si="5"/>
        <v>357.8076484018265</v>
      </c>
      <c r="N11" s="25">
        <f t="shared" si="6"/>
        <v>590.3826198630137</v>
      </c>
      <c r="O11" s="25">
        <f t="shared" si="7"/>
        <v>266.82</v>
      </c>
    </row>
    <row r="12" spans="1:15" ht="10.5" customHeight="1">
      <c r="A12" s="4" t="s">
        <v>35</v>
      </c>
      <c r="B12" s="23"/>
      <c r="C12" s="23"/>
      <c r="D12" s="23"/>
      <c r="E12" s="16">
        <f>629379+10000</f>
        <v>639379</v>
      </c>
      <c r="F12" s="19">
        <f>E12-(E12/1.12)</f>
        <v>68504.89285714296</v>
      </c>
      <c r="G12" s="19">
        <f>J12*132</f>
        <v>0</v>
      </c>
      <c r="H12" s="6">
        <f>E12/12</f>
        <v>53281.583333333336</v>
      </c>
      <c r="I12" s="6"/>
      <c r="J12" s="6">
        <v>0</v>
      </c>
      <c r="K12" s="19">
        <f>J12*146</f>
        <v>0</v>
      </c>
      <c r="L12" s="24">
        <f>(E12-K12)/12</f>
        <v>53281.583333333336</v>
      </c>
      <c r="M12" s="25">
        <f>E12/1752</f>
        <v>364.9423515981735</v>
      </c>
      <c r="N12" s="25">
        <f>M12*1.65</f>
        <v>602.1548801369862</v>
      </c>
      <c r="O12" s="25">
        <f t="shared" si="7"/>
        <v>273.2302564102564</v>
      </c>
    </row>
    <row r="13" spans="1:15" ht="10.5" customHeight="1">
      <c r="A13" s="4"/>
      <c r="B13" s="23"/>
      <c r="C13" s="23"/>
      <c r="D13" s="23"/>
      <c r="E13" s="20"/>
      <c r="F13" s="16"/>
      <c r="G13" s="16"/>
      <c r="H13" s="27"/>
      <c r="I13" s="28"/>
      <c r="J13" s="6"/>
      <c r="K13" s="19"/>
      <c r="L13" s="24"/>
      <c r="M13" s="25"/>
      <c r="N13" s="25"/>
      <c r="O13" s="25"/>
    </row>
    <row r="14" spans="1:19" ht="10.5" customHeight="1">
      <c r="A14" s="4" t="s">
        <v>38</v>
      </c>
      <c r="B14" s="38" t="s">
        <v>37</v>
      </c>
      <c r="C14" s="23" t="s">
        <v>20</v>
      </c>
      <c r="D14" s="23" t="s">
        <v>48</v>
      </c>
      <c r="E14" s="16">
        <f>556865+10000</f>
        <v>566865</v>
      </c>
      <c r="F14" s="19">
        <f aca="true" t="shared" si="8" ref="F14:F22">E14-(E14/1.12)</f>
        <v>60735.53571428574</v>
      </c>
      <c r="G14" s="19">
        <f aca="true" t="shared" si="9" ref="G14:G21">J14*132</f>
        <v>0</v>
      </c>
      <c r="H14" s="6">
        <f aca="true" t="shared" si="10" ref="H14:H22">E14/12</f>
        <v>47238.75</v>
      </c>
      <c r="I14" s="28"/>
      <c r="J14" s="6">
        <v>0</v>
      </c>
      <c r="K14" s="28">
        <f aca="true" t="shared" si="11" ref="K14:K22">892+14+9</f>
        <v>915</v>
      </c>
      <c r="L14" s="19">
        <f aca="true" t="shared" si="12" ref="L14:L19">J14*146</f>
        <v>0</v>
      </c>
      <c r="M14" s="25">
        <f aca="true" t="shared" si="13" ref="M14:M22">E14/1752</f>
        <v>323.55308219178085</v>
      </c>
      <c r="N14" s="25">
        <f aca="true" t="shared" si="14" ref="N14:N22">M14*1.65</f>
        <v>533.8625856164383</v>
      </c>
      <c r="O14" s="25">
        <f t="shared" si="7"/>
        <v>236.04358974358973</v>
      </c>
      <c r="P14" s="25"/>
      <c r="Q14" s="30"/>
      <c r="R14" s="30"/>
      <c r="S14" s="30"/>
    </row>
    <row r="15" spans="1:19" ht="10.5" customHeight="1">
      <c r="A15" s="4" t="s">
        <v>39</v>
      </c>
      <c r="B15" s="23"/>
      <c r="C15" s="23" t="s">
        <v>47</v>
      </c>
      <c r="D15" s="23"/>
      <c r="E15" s="16">
        <f>569787+10000</f>
        <v>579787</v>
      </c>
      <c r="F15" s="19">
        <f t="shared" si="8"/>
        <v>62120.03571428574</v>
      </c>
      <c r="G15" s="19">
        <f t="shared" si="9"/>
        <v>0</v>
      </c>
      <c r="H15" s="6">
        <f t="shared" si="10"/>
        <v>48315.583333333336</v>
      </c>
      <c r="I15" s="28"/>
      <c r="J15" s="6">
        <v>0</v>
      </c>
      <c r="K15" s="28">
        <f t="shared" si="11"/>
        <v>915</v>
      </c>
      <c r="L15" s="19">
        <f t="shared" si="12"/>
        <v>0</v>
      </c>
      <c r="M15" s="25">
        <f t="shared" si="13"/>
        <v>330.92865296803654</v>
      </c>
      <c r="N15" s="25">
        <f t="shared" si="14"/>
        <v>546.0322773972603</v>
      </c>
      <c r="O15" s="25">
        <f t="shared" si="7"/>
        <v>242.6702564102564</v>
      </c>
      <c r="P15" s="25"/>
      <c r="Q15" s="30"/>
      <c r="R15" s="30"/>
      <c r="S15" s="30"/>
    </row>
    <row r="16" spans="1:19" ht="10.5" customHeight="1">
      <c r="A16" s="4" t="s">
        <v>40</v>
      </c>
      <c r="B16" s="23"/>
      <c r="C16" s="23"/>
      <c r="D16" s="23"/>
      <c r="E16" s="16">
        <f>582710+10000</f>
        <v>592710</v>
      </c>
      <c r="F16" s="19">
        <f t="shared" si="8"/>
        <v>63504.64285714296</v>
      </c>
      <c r="G16" s="19">
        <f t="shared" si="9"/>
        <v>0</v>
      </c>
      <c r="H16" s="6">
        <f t="shared" si="10"/>
        <v>49392.5</v>
      </c>
      <c r="I16" s="28"/>
      <c r="J16" s="6">
        <v>0</v>
      </c>
      <c r="K16" s="28">
        <f t="shared" si="11"/>
        <v>915</v>
      </c>
      <c r="L16" s="19">
        <f t="shared" si="12"/>
        <v>0</v>
      </c>
      <c r="M16" s="25">
        <f t="shared" si="13"/>
        <v>338.30479452054794</v>
      </c>
      <c r="N16" s="25">
        <f t="shared" si="14"/>
        <v>558.2029109589041</v>
      </c>
      <c r="O16" s="25">
        <f t="shared" si="7"/>
        <v>249.2974358974359</v>
      </c>
      <c r="P16" s="25"/>
      <c r="Q16" s="30"/>
      <c r="R16" s="30"/>
      <c r="S16" s="30"/>
    </row>
    <row r="17" spans="1:19" ht="10.5" customHeight="1">
      <c r="A17" s="4" t="s">
        <v>41</v>
      </c>
      <c r="B17" s="23"/>
      <c r="C17" s="30"/>
      <c r="D17" s="26"/>
      <c r="E17" s="16">
        <f>595632+10000</f>
        <v>605632</v>
      </c>
      <c r="F17" s="19">
        <f t="shared" si="8"/>
        <v>64889.14285714296</v>
      </c>
      <c r="G17" s="19">
        <f t="shared" si="9"/>
        <v>0</v>
      </c>
      <c r="H17" s="6">
        <f t="shared" si="10"/>
        <v>50469.333333333336</v>
      </c>
      <c r="I17" s="28"/>
      <c r="J17" s="6">
        <v>0</v>
      </c>
      <c r="K17" s="28">
        <f t="shared" si="11"/>
        <v>915</v>
      </c>
      <c r="L17" s="19">
        <f t="shared" si="12"/>
        <v>0</v>
      </c>
      <c r="M17" s="25">
        <f t="shared" si="13"/>
        <v>345.68036529680364</v>
      </c>
      <c r="N17" s="25">
        <f t="shared" si="14"/>
        <v>570.372602739726</v>
      </c>
      <c r="O17" s="25">
        <f t="shared" si="7"/>
        <v>255.92410256410255</v>
      </c>
      <c r="P17" s="25"/>
      <c r="Q17" s="30"/>
      <c r="R17" s="30"/>
      <c r="S17" s="30"/>
    </row>
    <row r="18" spans="1:19" ht="10.5" customHeight="1">
      <c r="A18" s="4" t="s">
        <v>42</v>
      </c>
      <c r="B18" s="23"/>
      <c r="C18" s="30"/>
      <c r="D18" s="26"/>
      <c r="E18" s="16">
        <f>608555+10000</f>
        <v>618555</v>
      </c>
      <c r="F18" s="19">
        <f t="shared" si="8"/>
        <v>66273.75</v>
      </c>
      <c r="G18" s="19">
        <f t="shared" si="9"/>
        <v>0</v>
      </c>
      <c r="H18" s="6">
        <f t="shared" si="10"/>
        <v>51546.25</v>
      </c>
      <c r="I18" s="28"/>
      <c r="J18" s="6">
        <v>0</v>
      </c>
      <c r="K18" s="28">
        <f t="shared" si="11"/>
        <v>915</v>
      </c>
      <c r="L18" s="19">
        <f t="shared" si="12"/>
        <v>0</v>
      </c>
      <c r="M18" s="25">
        <f t="shared" si="13"/>
        <v>353.05650684931504</v>
      </c>
      <c r="N18" s="25">
        <f t="shared" si="14"/>
        <v>582.5432363013698</v>
      </c>
      <c r="O18" s="25">
        <f t="shared" si="7"/>
        <v>262.55128205128204</v>
      </c>
      <c r="P18" s="25"/>
      <c r="Q18" s="30"/>
      <c r="R18" s="30"/>
      <c r="S18" s="30"/>
    </row>
    <row r="19" spans="1:19" ht="10.5" customHeight="1">
      <c r="A19" s="4" t="s">
        <v>43</v>
      </c>
      <c r="B19" s="23"/>
      <c r="C19" s="30"/>
      <c r="D19" s="26"/>
      <c r="E19" s="16">
        <f>625002+10000</f>
        <v>635002</v>
      </c>
      <c r="F19" s="19">
        <f t="shared" si="8"/>
        <v>68035.92857142864</v>
      </c>
      <c r="G19" s="19">
        <f t="shared" si="9"/>
        <v>0</v>
      </c>
      <c r="H19" s="6">
        <f t="shared" si="10"/>
        <v>52916.833333333336</v>
      </c>
      <c r="I19" s="28"/>
      <c r="J19" s="6">
        <v>0</v>
      </c>
      <c r="K19" s="28">
        <f t="shared" si="11"/>
        <v>915</v>
      </c>
      <c r="L19" s="19">
        <f t="shared" si="12"/>
        <v>0</v>
      </c>
      <c r="M19" s="25">
        <f t="shared" si="13"/>
        <v>362.44406392694066</v>
      </c>
      <c r="N19" s="25">
        <f t="shared" si="14"/>
        <v>598.032705479452</v>
      </c>
      <c r="O19" s="25">
        <f t="shared" si="7"/>
        <v>270.98564102564103</v>
      </c>
      <c r="P19" s="25"/>
      <c r="Q19" s="30"/>
      <c r="R19" s="30"/>
      <c r="S19" s="30"/>
    </row>
    <row r="20" spans="1:19" ht="10.5" customHeight="1">
      <c r="A20" s="4" t="s">
        <v>44</v>
      </c>
      <c r="B20" s="23"/>
      <c r="C20" s="30"/>
      <c r="D20" s="26"/>
      <c r="E20" s="16">
        <f>640849+10000</f>
        <v>650849</v>
      </c>
      <c r="F20" s="19">
        <f t="shared" si="8"/>
        <v>69733.82142857148</v>
      </c>
      <c r="G20" s="19">
        <f t="shared" si="9"/>
        <v>0</v>
      </c>
      <c r="H20" s="6">
        <f t="shared" si="10"/>
        <v>54237.416666666664</v>
      </c>
      <c r="I20" s="28"/>
      <c r="J20" s="6">
        <v>0</v>
      </c>
      <c r="K20" s="28">
        <f t="shared" si="11"/>
        <v>915</v>
      </c>
      <c r="L20" s="19">
        <f>J20*146</f>
        <v>0</v>
      </c>
      <c r="M20" s="25">
        <f t="shared" si="13"/>
        <v>371.48915525114154</v>
      </c>
      <c r="N20" s="25">
        <f t="shared" si="14"/>
        <v>612.9571061643835</v>
      </c>
      <c r="O20" s="25">
        <f t="shared" si="7"/>
        <v>279.1123076923077</v>
      </c>
      <c r="P20" s="25"/>
      <c r="Q20" s="30"/>
      <c r="R20" s="30"/>
      <c r="S20" s="30"/>
    </row>
    <row r="21" spans="1:19" ht="10.5" customHeight="1">
      <c r="A21" s="4" t="s">
        <v>45</v>
      </c>
      <c r="B21" s="23"/>
      <c r="C21" s="30"/>
      <c r="D21" s="26"/>
      <c r="E21" s="16">
        <f>656696+10000</f>
        <v>666696</v>
      </c>
      <c r="F21" s="19">
        <f t="shared" si="8"/>
        <v>71431.71428571432</v>
      </c>
      <c r="G21" s="19">
        <f t="shared" si="9"/>
        <v>0</v>
      </c>
      <c r="H21" s="6">
        <f t="shared" si="10"/>
        <v>55558</v>
      </c>
      <c r="I21" s="28"/>
      <c r="J21" s="6">
        <v>0</v>
      </c>
      <c r="K21" s="28">
        <f t="shared" si="11"/>
        <v>915</v>
      </c>
      <c r="L21" s="19"/>
      <c r="M21" s="25">
        <f t="shared" si="13"/>
        <v>380.5342465753425</v>
      </c>
      <c r="N21" s="25">
        <f t="shared" si="14"/>
        <v>627.8815068493151</v>
      </c>
      <c r="O21" s="25">
        <f t="shared" si="7"/>
        <v>287.23897435897436</v>
      </c>
      <c r="P21" s="25"/>
      <c r="Q21" s="30"/>
      <c r="R21" s="30"/>
      <c r="S21" s="30"/>
    </row>
    <row r="22" spans="1:19" ht="10.5" customHeight="1">
      <c r="A22" s="4" t="s">
        <v>46</v>
      </c>
      <c r="B22" s="23"/>
      <c r="C22" s="30"/>
      <c r="D22" s="26"/>
      <c r="E22" s="16">
        <f>669196+10000</f>
        <v>679196</v>
      </c>
      <c r="F22" s="19">
        <f t="shared" si="8"/>
        <v>72771</v>
      </c>
      <c r="G22" s="19">
        <f>J22*132</f>
        <v>0</v>
      </c>
      <c r="H22" s="6">
        <f t="shared" si="10"/>
        <v>56599.666666666664</v>
      </c>
      <c r="I22" s="28"/>
      <c r="J22" s="6">
        <v>0</v>
      </c>
      <c r="K22" s="28">
        <f t="shared" si="11"/>
        <v>915</v>
      </c>
      <c r="L22" s="19"/>
      <c r="M22" s="25">
        <f t="shared" si="13"/>
        <v>387.6689497716895</v>
      </c>
      <c r="N22" s="25">
        <f t="shared" si="14"/>
        <v>639.6537671232876</v>
      </c>
      <c r="O22" s="25">
        <f t="shared" si="7"/>
        <v>293.64923076923077</v>
      </c>
      <c r="P22" s="25"/>
      <c r="Q22" s="30"/>
      <c r="R22" s="30"/>
      <c r="S22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O4" sqref="O4"/>
    </sheetView>
  </sheetViews>
  <sheetFormatPr defaultColWidth="10.421875" defaultRowHeight="12" customHeight="1"/>
  <cols>
    <col min="1" max="1" width="10.140625" style="10" customWidth="1"/>
    <col min="2" max="2" width="20.421875" style="29" customWidth="1"/>
    <col min="3" max="3" width="17.00390625" style="29" customWidth="1"/>
    <col min="4" max="4" width="8.28125" style="29" bestFit="1" customWidth="1"/>
    <col min="5" max="5" width="8.7109375" style="31" bestFit="1" customWidth="1"/>
    <col min="6" max="6" width="6.57421875" style="32" bestFit="1" customWidth="1"/>
    <col min="7" max="7" width="7.140625" style="32" customWidth="1"/>
    <col min="8" max="8" width="7.7109375" style="33" bestFit="1" customWidth="1"/>
    <col min="9" max="9" width="0.85546875" style="34" customWidth="1"/>
    <col min="10" max="10" width="6.00390625" style="33" bestFit="1" customWidth="1"/>
    <col min="11" max="11" width="10.421875" style="35" hidden="1" customWidth="1"/>
    <col min="12" max="12" width="10.421875" style="26" hidden="1" customWidth="1"/>
    <col min="13" max="13" width="10.00390625" style="36" bestFit="1" customWidth="1"/>
    <col min="14" max="14" width="8.28125" style="36" bestFit="1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50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2</v>
      </c>
      <c r="B4" s="23" t="s">
        <v>23</v>
      </c>
      <c r="C4" s="23" t="s">
        <v>20</v>
      </c>
      <c r="D4" s="23" t="s">
        <v>22</v>
      </c>
      <c r="E4" s="16">
        <f>522046+10000+5340</f>
        <v>537386</v>
      </c>
      <c r="F4" s="19">
        <f aca="true" t="shared" si="0" ref="F4:F11">E4-(E4/1.12)</f>
        <v>57577.07142857148</v>
      </c>
      <c r="G4" s="19">
        <f aca="true" t="shared" si="1" ref="G4:G11">J4*132</f>
        <v>0</v>
      </c>
      <c r="H4" s="6">
        <f aca="true" t="shared" si="2" ref="H4:H11">E4/12</f>
        <v>44782.166666666664</v>
      </c>
      <c r="I4" s="6"/>
      <c r="J4" s="6">
        <v>0</v>
      </c>
      <c r="K4" s="19">
        <f aca="true" t="shared" si="3" ref="K4:K11">J4*146</f>
        <v>0</v>
      </c>
      <c r="L4" s="24">
        <f aca="true" t="shared" si="4" ref="L4:L11">(E4-K4)/12</f>
        <v>44782.166666666664</v>
      </c>
      <c r="M4" s="25">
        <f aca="true" t="shared" si="5" ref="M4:M11">E4/1752</f>
        <v>306.7271689497717</v>
      </c>
      <c r="N4" s="25">
        <f aca="true" t="shared" si="6" ref="N4:N11">M4*1.65</f>
        <v>506.09982876712326</v>
      </c>
      <c r="O4" s="25">
        <f>(E4-(735*146))/1950</f>
        <v>220.55179487179487</v>
      </c>
    </row>
    <row r="5" spans="1:15" ht="10.5" customHeight="1">
      <c r="A5" s="4" t="s">
        <v>12</v>
      </c>
      <c r="B5" s="23"/>
      <c r="C5" s="23" t="s">
        <v>21</v>
      </c>
      <c r="D5" s="23"/>
      <c r="E5" s="16">
        <f>534560+10000+5340</f>
        <v>549900</v>
      </c>
      <c r="F5" s="19">
        <f t="shared" si="0"/>
        <v>58917.85714285722</v>
      </c>
      <c r="G5" s="19">
        <f t="shared" si="1"/>
        <v>0</v>
      </c>
      <c r="H5" s="6">
        <f t="shared" si="2"/>
        <v>45825</v>
      </c>
      <c r="I5" s="6"/>
      <c r="J5" s="6">
        <v>0</v>
      </c>
      <c r="K5" s="19">
        <f t="shared" si="3"/>
        <v>0</v>
      </c>
      <c r="L5" s="24">
        <f t="shared" si="4"/>
        <v>45825</v>
      </c>
      <c r="M5" s="25">
        <f t="shared" si="5"/>
        <v>313.86986301369865</v>
      </c>
      <c r="N5" s="25">
        <f t="shared" si="6"/>
        <v>517.8852739726027</v>
      </c>
      <c r="O5" s="25">
        <f aca="true" t="shared" si="7" ref="O5:O22">(E5-(735*146))/1950</f>
        <v>226.96923076923076</v>
      </c>
    </row>
    <row r="6" spans="1:15" ht="10.5" customHeight="1">
      <c r="A6" s="4" t="s">
        <v>13</v>
      </c>
      <c r="B6" s="23" t="s">
        <v>25</v>
      </c>
      <c r="C6" s="23" t="s">
        <v>28</v>
      </c>
      <c r="D6" s="23" t="s">
        <v>27</v>
      </c>
      <c r="E6" s="16">
        <f>547077+10000+5340</f>
        <v>562417</v>
      </c>
      <c r="F6" s="19">
        <f t="shared" si="0"/>
        <v>60258.96428571432</v>
      </c>
      <c r="G6" s="19">
        <f t="shared" si="1"/>
        <v>0</v>
      </c>
      <c r="H6" s="6">
        <f t="shared" si="2"/>
        <v>46868.083333333336</v>
      </c>
      <c r="I6" s="6"/>
      <c r="J6" s="6">
        <v>0</v>
      </c>
      <c r="K6" s="19">
        <f t="shared" si="3"/>
        <v>0</v>
      </c>
      <c r="L6" s="24">
        <f t="shared" si="4"/>
        <v>46868.083333333336</v>
      </c>
      <c r="M6" s="25">
        <f t="shared" si="5"/>
        <v>321.0142694063927</v>
      </c>
      <c r="N6" s="25">
        <f t="shared" si="6"/>
        <v>529.6735445205479</v>
      </c>
      <c r="O6" s="25">
        <f t="shared" si="7"/>
        <v>233.38820512820513</v>
      </c>
    </row>
    <row r="7" spans="1:15" ht="10.5" customHeight="1">
      <c r="A7" s="4" t="s">
        <v>3</v>
      </c>
      <c r="B7" s="23" t="s">
        <v>26</v>
      </c>
      <c r="C7" s="23" t="s">
        <v>24</v>
      </c>
      <c r="D7" s="23"/>
      <c r="E7" s="16">
        <f>559593+10000+5340</f>
        <v>574933</v>
      </c>
      <c r="F7" s="19">
        <f t="shared" si="0"/>
        <v>61599.96428571432</v>
      </c>
      <c r="G7" s="19">
        <f t="shared" si="1"/>
        <v>0</v>
      </c>
      <c r="H7" s="6">
        <f t="shared" si="2"/>
        <v>47911.083333333336</v>
      </c>
      <c r="I7" s="6"/>
      <c r="J7" s="6">
        <v>0</v>
      </c>
      <c r="K7" s="19">
        <f t="shared" si="3"/>
        <v>0</v>
      </c>
      <c r="L7" s="24">
        <f t="shared" si="4"/>
        <v>47911.083333333336</v>
      </c>
      <c r="M7" s="25">
        <f t="shared" si="5"/>
        <v>328.158105022831</v>
      </c>
      <c r="N7" s="25">
        <f t="shared" si="6"/>
        <v>541.4608732876711</v>
      </c>
      <c r="O7" s="25">
        <f t="shared" si="7"/>
        <v>239.80666666666667</v>
      </c>
    </row>
    <row r="8" spans="1:15" ht="10.5" customHeight="1">
      <c r="A8" s="4" t="s">
        <v>14</v>
      </c>
      <c r="B8" s="23" t="s">
        <v>29</v>
      </c>
      <c r="C8" s="23"/>
      <c r="D8" s="23"/>
      <c r="E8" s="16">
        <f>572108+10000+5340</f>
        <v>587448</v>
      </c>
      <c r="F8" s="19">
        <f t="shared" si="0"/>
        <v>62940.85714285716</v>
      </c>
      <c r="G8" s="19">
        <f t="shared" si="1"/>
        <v>0</v>
      </c>
      <c r="H8" s="6">
        <f t="shared" si="2"/>
        <v>48954</v>
      </c>
      <c r="I8" s="6"/>
      <c r="J8" s="6">
        <v>0</v>
      </c>
      <c r="K8" s="19">
        <f t="shared" si="3"/>
        <v>0</v>
      </c>
      <c r="L8" s="24">
        <f t="shared" si="4"/>
        <v>48954</v>
      </c>
      <c r="M8" s="25">
        <f t="shared" si="5"/>
        <v>335.3013698630137</v>
      </c>
      <c r="N8" s="25">
        <f t="shared" si="6"/>
        <v>553.2472602739725</v>
      </c>
      <c r="O8" s="25">
        <f t="shared" si="7"/>
        <v>246.2246153846154</v>
      </c>
    </row>
    <row r="9" spans="1:15" ht="10.5" customHeight="1">
      <c r="A9" s="4" t="s">
        <v>15</v>
      </c>
      <c r="B9" s="23"/>
      <c r="C9" s="23"/>
      <c r="D9" s="23"/>
      <c r="E9" s="16">
        <f>584625+10000+5340</f>
        <v>599965</v>
      </c>
      <c r="F9" s="19">
        <f t="shared" si="0"/>
        <v>64281.96428571432</v>
      </c>
      <c r="G9" s="19">
        <f t="shared" si="1"/>
        <v>0</v>
      </c>
      <c r="H9" s="6">
        <f t="shared" si="2"/>
        <v>49997.083333333336</v>
      </c>
      <c r="I9" s="6"/>
      <c r="J9" s="6">
        <v>0</v>
      </c>
      <c r="K9" s="19">
        <f t="shared" si="3"/>
        <v>0</v>
      </c>
      <c r="L9" s="24">
        <f t="shared" si="4"/>
        <v>49997.083333333336</v>
      </c>
      <c r="M9" s="25">
        <f t="shared" si="5"/>
        <v>342.44577625570776</v>
      </c>
      <c r="N9" s="25">
        <f t="shared" si="6"/>
        <v>565.0355308219177</v>
      </c>
      <c r="O9" s="25">
        <f t="shared" si="7"/>
        <v>252.64358974358976</v>
      </c>
    </row>
    <row r="10" spans="1:15" ht="10.5" customHeight="1">
      <c r="A10" s="4" t="s">
        <v>16</v>
      </c>
      <c r="B10" s="23"/>
      <c r="C10" s="23"/>
      <c r="D10" s="23"/>
      <c r="E10" s="16">
        <f>601031+10000+5340</f>
        <v>616371</v>
      </c>
      <c r="F10" s="19">
        <f t="shared" si="0"/>
        <v>66039.75</v>
      </c>
      <c r="G10" s="19">
        <f t="shared" si="1"/>
        <v>0</v>
      </c>
      <c r="H10" s="6">
        <f t="shared" si="2"/>
        <v>51364.25</v>
      </c>
      <c r="I10" s="6"/>
      <c r="J10" s="6">
        <v>0</v>
      </c>
      <c r="K10" s="19">
        <f t="shared" si="3"/>
        <v>0</v>
      </c>
      <c r="L10" s="24">
        <f t="shared" si="4"/>
        <v>51364.25</v>
      </c>
      <c r="M10" s="25">
        <f t="shared" si="5"/>
        <v>351.8099315068493</v>
      </c>
      <c r="N10" s="25">
        <f t="shared" si="6"/>
        <v>580.4863869863013</v>
      </c>
      <c r="O10" s="25">
        <f t="shared" si="7"/>
        <v>261.05692307692306</v>
      </c>
    </row>
    <row r="11" spans="1:15" ht="10.5" customHeight="1">
      <c r="A11" s="4" t="s">
        <v>30</v>
      </c>
      <c r="B11" s="23"/>
      <c r="C11" s="23"/>
      <c r="D11" s="23"/>
      <c r="E11" s="16">
        <f>616879+10000+5340</f>
        <v>632219</v>
      </c>
      <c r="F11" s="19">
        <f t="shared" si="0"/>
        <v>67737.75</v>
      </c>
      <c r="G11" s="19">
        <f t="shared" si="1"/>
        <v>0</v>
      </c>
      <c r="H11" s="6">
        <f t="shared" si="2"/>
        <v>52684.916666666664</v>
      </c>
      <c r="I11" s="6"/>
      <c r="J11" s="6">
        <v>0</v>
      </c>
      <c r="K11" s="19">
        <f t="shared" si="3"/>
        <v>0</v>
      </c>
      <c r="L11" s="24">
        <f t="shared" si="4"/>
        <v>52684.916666666664</v>
      </c>
      <c r="M11" s="25">
        <f t="shared" si="5"/>
        <v>360.85559360730593</v>
      </c>
      <c r="N11" s="25">
        <f t="shared" si="6"/>
        <v>595.4117294520547</v>
      </c>
      <c r="O11" s="25">
        <f t="shared" si="7"/>
        <v>269.18410256410255</v>
      </c>
    </row>
    <row r="12" spans="1:15" ht="10.5" customHeight="1">
      <c r="A12" s="4" t="s">
        <v>35</v>
      </c>
      <c r="B12" s="23"/>
      <c r="C12" s="23"/>
      <c r="D12" s="23"/>
      <c r="E12" s="16">
        <f>629379+10000+6340</f>
        <v>645719</v>
      </c>
      <c r="F12" s="19">
        <f>E12-(E12/1.12)</f>
        <v>69184.17857142864</v>
      </c>
      <c r="G12" s="19">
        <f>J12*132</f>
        <v>0</v>
      </c>
      <c r="H12" s="6">
        <f>E12/12</f>
        <v>53809.916666666664</v>
      </c>
      <c r="I12" s="6"/>
      <c r="J12" s="6">
        <v>0</v>
      </c>
      <c r="K12" s="19">
        <f>J12*146</f>
        <v>0</v>
      </c>
      <c r="L12" s="24">
        <f>(E12-K12)/12</f>
        <v>53809.916666666664</v>
      </c>
      <c r="M12" s="25">
        <f>E12/1752</f>
        <v>368.56107305936075</v>
      </c>
      <c r="N12" s="25">
        <f>M12*1.65</f>
        <v>608.1257705479452</v>
      </c>
      <c r="O12" s="25">
        <f t="shared" si="7"/>
        <v>276.1071794871795</v>
      </c>
    </row>
    <row r="13" spans="1:15" ht="10.5" customHeight="1">
      <c r="A13" s="4"/>
      <c r="B13" s="23"/>
      <c r="C13" s="23"/>
      <c r="D13" s="23"/>
      <c r="E13" s="20"/>
      <c r="F13" s="16"/>
      <c r="G13" s="16"/>
      <c r="H13" s="27"/>
      <c r="I13" s="28"/>
      <c r="J13" s="6"/>
      <c r="K13" s="19"/>
      <c r="L13" s="24"/>
      <c r="M13" s="25"/>
      <c r="N13" s="25"/>
      <c r="O13" s="25"/>
    </row>
    <row r="14" spans="1:19" ht="10.5" customHeight="1">
      <c r="A14" s="4" t="s">
        <v>38</v>
      </c>
      <c r="B14" s="38" t="s">
        <v>37</v>
      </c>
      <c r="C14" s="23" t="s">
        <v>20</v>
      </c>
      <c r="D14" s="23" t="s">
        <v>48</v>
      </c>
      <c r="E14" s="16">
        <f>556865+10000+5340</f>
        <v>572205</v>
      </c>
      <c r="F14" s="19">
        <f aca="true" t="shared" si="8" ref="F14:F22">E14-(E14/1.12)</f>
        <v>61307.67857142864</v>
      </c>
      <c r="G14" s="19">
        <f aca="true" t="shared" si="9" ref="G14:G21">J14*132</f>
        <v>0</v>
      </c>
      <c r="H14" s="6">
        <f aca="true" t="shared" si="10" ref="H14:H22">E14/12</f>
        <v>47683.75</v>
      </c>
      <c r="I14" s="28"/>
      <c r="J14" s="6">
        <v>0</v>
      </c>
      <c r="K14" s="28">
        <f aca="true" t="shared" si="11" ref="K14:K22">892+14+9</f>
        <v>915</v>
      </c>
      <c r="L14" s="19">
        <f aca="true" t="shared" si="12" ref="L14:L19">J14*146</f>
        <v>0</v>
      </c>
      <c r="M14" s="25">
        <f aca="true" t="shared" si="13" ref="M14:M22">E14/1752</f>
        <v>326.6010273972603</v>
      </c>
      <c r="N14" s="25">
        <f aca="true" t="shared" si="14" ref="N14:N22">M14*1.65</f>
        <v>538.8916952054794</v>
      </c>
      <c r="O14" s="25">
        <f t="shared" si="7"/>
        <v>238.40769230769232</v>
      </c>
      <c r="P14" s="25"/>
      <c r="Q14" s="30"/>
      <c r="R14" s="30"/>
      <c r="S14" s="30"/>
    </row>
    <row r="15" spans="1:19" ht="10.5" customHeight="1">
      <c r="A15" s="4" t="s">
        <v>39</v>
      </c>
      <c r="B15" s="23"/>
      <c r="C15" s="23" t="s">
        <v>47</v>
      </c>
      <c r="D15" s="23"/>
      <c r="E15" s="16">
        <f>569787+10000+5340</f>
        <v>585127</v>
      </c>
      <c r="F15" s="19">
        <f t="shared" si="8"/>
        <v>62692.17857142864</v>
      </c>
      <c r="G15" s="19">
        <f t="shared" si="9"/>
        <v>0</v>
      </c>
      <c r="H15" s="6">
        <f t="shared" si="10"/>
        <v>48760.583333333336</v>
      </c>
      <c r="I15" s="28"/>
      <c r="J15" s="6">
        <v>0</v>
      </c>
      <c r="K15" s="28">
        <f t="shared" si="11"/>
        <v>915</v>
      </c>
      <c r="L15" s="19">
        <f t="shared" si="12"/>
        <v>0</v>
      </c>
      <c r="M15" s="25">
        <f t="shared" si="13"/>
        <v>333.976598173516</v>
      </c>
      <c r="N15" s="25">
        <f t="shared" si="14"/>
        <v>551.0613869863014</v>
      </c>
      <c r="O15" s="25">
        <f t="shared" si="7"/>
        <v>245.03435897435898</v>
      </c>
      <c r="P15" s="25"/>
      <c r="Q15" s="30"/>
      <c r="R15" s="30"/>
      <c r="S15" s="30"/>
    </row>
    <row r="16" spans="1:19" ht="10.5" customHeight="1">
      <c r="A16" s="4" t="s">
        <v>40</v>
      </c>
      <c r="B16" s="23"/>
      <c r="C16" s="23"/>
      <c r="D16" s="23"/>
      <c r="E16" s="16">
        <f>582710+10000+5340</f>
        <v>598050</v>
      </c>
      <c r="F16" s="19">
        <f t="shared" si="8"/>
        <v>64076.7857142858</v>
      </c>
      <c r="G16" s="19">
        <f t="shared" si="9"/>
        <v>0</v>
      </c>
      <c r="H16" s="6">
        <f t="shared" si="10"/>
        <v>49837.5</v>
      </c>
      <c r="I16" s="28"/>
      <c r="J16" s="6">
        <v>0</v>
      </c>
      <c r="K16" s="28">
        <f t="shared" si="11"/>
        <v>915</v>
      </c>
      <c r="L16" s="19">
        <f t="shared" si="12"/>
        <v>0</v>
      </c>
      <c r="M16" s="25">
        <f t="shared" si="13"/>
        <v>341.3527397260274</v>
      </c>
      <c r="N16" s="25">
        <f t="shared" si="14"/>
        <v>563.2320205479451</v>
      </c>
      <c r="O16" s="25">
        <f t="shared" si="7"/>
        <v>251.66153846153847</v>
      </c>
      <c r="P16" s="25"/>
      <c r="Q16" s="30"/>
      <c r="R16" s="30"/>
      <c r="S16" s="30"/>
    </row>
    <row r="17" spans="1:19" ht="10.5" customHeight="1">
      <c r="A17" s="4" t="s">
        <v>41</v>
      </c>
      <c r="B17" s="23"/>
      <c r="C17" s="30"/>
      <c r="D17" s="26"/>
      <c r="E17" s="16">
        <f>595632+10000+5340</f>
        <v>610972</v>
      </c>
      <c r="F17" s="19">
        <f t="shared" si="8"/>
        <v>65461.2857142858</v>
      </c>
      <c r="G17" s="19">
        <f t="shared" si="9"/>
        <v>0</v>
      </c>
      <c r="H17" s="6">
        <f t="shared" si="10"/>
        <v>50914.333333333336</v>
      </c>
      <c r="I17" s="28"/>
      <c r="J17" s="6">
        <v>0</v>
      </c>
      <c r="K17" s="28">
        <f t="shared" si="11"/>
        <v>915</v>
      </c>
      <c r="L17" s="19">
        <f t="shared" si="12"/>
        <v>0</v>
      </c>
      <c r="M17" s="25">
        <f t="shared" si="13"/>
        <v>348.7283105022831</v>
      </c>
      <c r="N17" s="25">
        <f t="shared" si="14"/>
        <v>575.4017123287671</v>
      </c>
      <c r="O17" s="25">
        <f t="shared" si="7"/>
        <v>258.2882051282051</v>
      </c>
      <c r="P17" s="25"/>
      <c r="Q17" s="30"/>
      <c r="R17" s="30"/>
      <c r="S17" s="30"/>
    </row>
    <row r="18" spans="1:19" ht="10.5" customHeight="1">
      <c r="A18" s="4" t="s">
        <v>42</v>
      </c>
      <c r="B18" s="23"/>
      <c r="C18" s="30"/>
      <c r="D18" s="26"/>
      <c r="E18" s="16">
        <f>608555+10000+5340</f>
        <v>623895</v>
      </c>
      <c r="F18" s="19">
        <f t="shared" si="8"/>
        <v>66845.89285714296</v>
      </c>
      <c r="G18" s="19">
        <f t="shared" si="9"/>
        <v>0</v>
      </c>
      <c r="H18" s="6">
        <f t="shared" si="10"/>
        <v>51991.25</v>
      </c>
      <c r="I18" s="28"/>
      <c r="J18" s="6">
        <v>0</v>
      </c>
      <c r="K18" s="28">
        <f t="shared" si="11"/>
        <v>915</v>
      </c>
      <c r="L18" s="19">
        <f t="shared" si="12"/>
        <v>0</v>
      </c>
      <c r="M18" s="25">
        <f t="shared" si="13"/>
        <v>356.10445205479454</v>
      </c>
      <c r="N18" s="25">
        <f t="shared" si="14"/>
        <v>587.5723458904109</v>
      </c>
      <c r="O18" s="25">
        <f t="shared" si="7"/>
        <v>264.9153846153846</v>
      </c>
      <c r="P18" s="25"/>
      <c r="Q18" s="30"/>
      <c r="R18" s="30"/>
      <c r="S18" s="30"/>
    </row>
    <row r="19" spans="1:19" ht="10.5" customHeight="1">
      <c r="A19" s="4" t="s">
        <v>43</v>
      </c>
      <c r="B19" s="23"/>
      <c r="C19" s="30"/>
      <c r="D19" s="26"/>
      <c r="E19" s="16">
        <f>625002+10000+5340</f>
        <v>640342</v>
      </c>
      <c r="F19" s="19">
        <f t="shared" si="8"/>
        <v>68608.07142857148</v>
      </c>
      <c r="G19" s="19">
        <f t="shared" si="9"/>
        <v>0</v>
      </c>
      <c r="H19" s="6">
        <f t="shared" si="10"/>
        <v>53361.833333333336</v>
      </c>
      <c r="I19" s="28"/>
      <c r="J19" s="6">
        <v>0</v>
      </c>
      <c r="K19" s="28">
        <f t="shared" si="11"/>
        <v>915</v>
      </c>
      <c r="L19" s="19">
        <f t="shared" si="12"/>
        <v>0</v>
      </c>
      <c r="M19" s="25">
        <f t="shared" si="13"/>
        <v>365.4920091324201</v>
      </c>
      <c r="N19" s="25">
        <f t="shared" si="14"/>
        <v>603.0618150684932</v>
      </c>
      <c r="O19" s="25">
        <f t="shared" si="7"/>
        <v>273.3497435897436</v>
      </c>
      <c r="P19" s="25"/>
      <c r="Q19" s="30"/>
      <c r="R19" s="30"/>
      <c r="S19" s="30"/>
    </row>
    <row r="20" spans="1:19" ht="10.5" customHeight="1">
      <c r="A20" s="4" t="s">
        <v>44</v>
      </c>
      <c r="B20" s="23"/>
      <c r="C20" s="30"/>
      <c r="D20" s="26"/>
      <c r="E20" s="16">
        <f>640849+10000+5340</f>
        <v>656189</v>
      </c>
      <c r="F20" s="19">
        <f t="shared" si="8"/>
        <v>70305.96428571432</v>
      </c>
      <c r="G20" s="19">
        <f t="shared" si="9"/>
        <v>0</v>
      </c>
      <c r="H20" s="6">
        <f t="shared" si="10"/>
        <v>54682.416666666664</v>
      </c>
      <c r="I20" s="28"/>
      <c r="J20" s="6">
        <v>0</v>
      </c>
      <c r="K20" s="28">
        <f t="shared" si="11"/>
        <v>915</v>
      </c>
      <c r="L20" s="19">
        <f>J20*146</f>
        <v>0</v>
      </c>
      <c r="M20" s="25">
        <f t="shared" si="13"/>
        <v>374.537100456621</v>
      </c>
      <c r="N20" s="25">
        <f t="shared" si="14"/>
        <v>617.9862157534246</v>
      </c>
      <c r="O20" s="25">
        <f t="shared" si="7"/>
        <v>281.47641025641025</v>
      </c>
      <c r="P20" s="25"/>
      <c r="Q20" s="30"/>
      <c r="R20" s="30"/>
      <c r="S20" s="30"/>
    </row>
    <row r="21" spans="1:19" ht="10.5" customHeight="1">
      <c r="A21" s="4" t="s">
        <v>45</v>
      </c>
      <c r="B21" s="23"/>
      <c r="C21" s="30"/>
      <c r="D21" s="26"/>
      <c r="E21" s="16">
        <f>656696+10000+5340</f>
        <v>672036</v>
      </c>
      <c r="F21" s="19">
        <f t="shared" si="8"/>
        <v>72003.85714285716</v>
      </c>
      <c r="G21" s="19">
        <f t="shared" si="9"/>
        <v>0</v>
      </c>
      <c r="H21" s="6">
        <f t="shared" si="10"/>
        <v>56003</v>
      </c>
      <c r="I21" s="28"/>
      <c r="J21" s="6">
        <v>0</v>
      </c>
      <c r="K21" s="28">
        <f t="shared" si="11"/>
        <v>915</v>
      </c>
      <c r="L21" s="19"/>
      <c r="M21" s="25">
        <f t="shared" si="13"/>
        <v>383.5821917808219</v>
      </c>
      <c r="N21" s="25">
        <f t="shared" si="14"/>
        <v>632.9106164383561</v>
      </c>
      <c r="O21" s="25">
        <f t="shared" si="7"/>
        <v>289.6030769230769</v>
      </c>
      <c r="P21" s="25"/>
      <c r="Q21" s="30"/>
      <c r="R21" s="30"/>
      <c r="S21" s="30"/>
    </row>
    <row r="22" spans="1:19" ht="10.5" customHeight="1">
      <c r="A22" s="4" t="s">
        <v>46</v>
      </c>
      <c r="B22" s="23"/>
      <c r="C22" s="30"/>
      <c r="D22" s="26"/>
      <c r="E22" s="16">
        <f>669196+10000+6340</f>
        <v>685536</v>
      </c>
      <c r="F22" s="19">
        <f t="shared" si="8"/>
        <v>73450.2857142858</v>
      </c>
      <c r="G22" s="19">
        <f>J22*132</f>
        <v>0</v>
      </c>
      <c r="H22" s="6">
        <f t="shared" si="10"/>
        <v>57128</v>
      </c>
      <c r="I22" s="28"/>
      <c r="J22" s="6">
        <v>0</v>
      </c>
      <c r="K22" s="28">
        <f t="shared" si="11"/>
        <v>915</v>
      </c>
      <c r="L22" s="19"/>
      <c r="M22" s="25">
        <f t="shared" si="13"/>
        <v>391.28767123287673</v>
      </c>
      <c r="N22" s="25">
        <f t="shared" si="14"/>
        <v>645.6246575342466</v>
      </c>
      <c r="O22" s="25">
        <f t="shared" si="7"/>
        <v>296.5261538461538</v>
      </c>
      <c r="P22" s="25"/>
      <c r="Q22" s="30"/>
      <c r="R22" s="30"/>
      <c r="S22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O20" sqref="O20"/>
    </sheetView>
  </sheetViews>
  <sheetFormatPr defaultColWidth="10.421875" defaultRowHeight="12" customHeight="1"/>
  <cols>
    <col min="1" max="1" width="10.140625" style="10" customWidth="1"/>
    <col min="2" max="2" width="20.421875" style="29" customWidth="1"/>
    <col min="3" max="3" width="17.00390625" style="29" customWidth="1"/>
    <col min="4" max="4" width="8.28125" style="29" bestFit="1" customWidth="1"/>
    <col min="5" max="5" width="8.7109375" style="31" bestFit="1" customWidth="1"/>
    <col min="6" max="6" width="6.57421875" style="32" bestFit="1" customWidth="1"/>
    <col min="7" max="7" width="7.140625" style="32" customWidth="1"/>
    <col min="8" max="8" width="7.7109375" style="33" bestFit="1" customWidth="1"/>
    <col min="9" max="9" width="0.85546875" style="34" customWidth="1"/>
    <col min="10" max="10" width="6.00390625" style="33" bestFit="1" customWidth="1"/>
    <col min="11" max="11" width="10.421875" style="35" hidden="1" customWidth="1"/>
    <col min="12" max="12" width="10.421875" style="26" hidden="1" customWidth="1"/>
    <col min="13" max="13" width="10.00390625" style="36" bestFit="1" customWidth="1"/>
    <col min="14" max="14" width="8.28125" style="36" bestFit="1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51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12</v>
      </c>
      <c r="B4" s="23" t="s">
        <v>23</v>
      </c>
      <c r="C4" s="23" t="s">
        <v>20</v>
      </c>
      <c r="D4" s="23" t="s">
        <v>22</v>
      </c>
      <c r="E4" s="16">
        <f>534560+10000+5340</f>
        <v>549900</v>
      </c>
      <c r="F4" s="19">
        <f aca="true" t="shared" si="0" ref="F4:F10">E4-(E4/1.12)</f>
        <v>58917.85714285722</v>
      </c>
      <c r="G4" s="19">
        <f aca="true" t="shared" si="1" ref="G4:G10">J4*132</f>
        <v>0</v>
      </c>
      <c r="H4" s="6">
        <f aca="true" t="shared" si="2" ref="H4:H10">E4/12</f>
        <v>45825</v>
      </c>
      <c r="I4" s="6"/>
      <c r="J4" s="6">
        <v>0</v>
      </c>
      <c r="K4" s="19">
        <f aca="true" t="shared" si="3" ref="K4:K10">J4*146</f>
        <v>0</v>
      </c>
      <c r="L4" s="24">
        <f aca="true" t="shared" si="4" ref="L4:L10">(E4-K4)/12</f>
        <v>45825</v>
      </c>
      <c r="M4" s="25">
        <f aca="true" t="shared" si="5" ref="M4:M10">E4/1752</f>
        <v>313.86986301369865</v>
      </c>
      <c r="N4" s="25">
        <f aca="true" t="shared" si="6" ref="N4:N10">M4*1.65</f>
        <v>517.8852739726027</v>
      </c>
      <c r="O4" s="25">
        <f>(E4-(735*146))/1950</f>
        <v>226.96923076923076</v>
      </c>
    </row>
    <row r="5" spans="1:15" ht="10.5" customHeight="1">
      <c r="A5" s="4" t="s">
        <v>13</v>
      </c>
      <c r="B5" s="23"/>
      <c r="C5" s="23" t="s">
        <v>21</v>
      </c>
      <c r="D5" s="23"/>
      <c r="E5" s="16">
        <f>547077+10000+5340</f>
        <v>562417</v>
      </c>
      <c r="F5" s="19">
        <f t="shared" si="0"/>
        <v>60258.96428571432</v>
      </c>
      <c r="G5" s="19">
        <f t="shared" si="1"/>
        <v>0</v>
      </c>
      <c r="H5" s="6">
        <f t="shared" si="2"/>
        <v>46868.083333333336</v>
      </c>
      <c r="I5" s="6"/>
      <c r="J5" s="6">
        <v>0</v>
      </c>
      <c r="K5" s="19">
        <f t="shared" si="3"/>
        <v>0</v>
      </c>
      <c r="L5" s="24">
        <f t="shared" si="4"/>
        <v>46868.083333333336</v>
      </c>
      <c r="M5" s="25">
        <f t="shared" si="5"/>
        <v>321.0142694063927</v>
      </c>
      <c r="N5" s="25">
        <f t="shared" si="6"/>
        <v>529.6735445205479</v>
      </c>
      <c r="O5" s="25">
        <f>(E5-(735*146))/1950</f>
        <v>233.38820512820513</v>
      </c>
    </row>
    <row r="6" spans="1:15" ht="10.5" customHeight="1">
      <c r="A6" s="4" t="s">
        <v>3</v>
      </c>
      <c r="B6" s="23" t="s">
        <v>25</v>
      </c>
      <c r="C6" s="23" t="s">
        <v>28</v>
      </c>
      <c r="D6" s="23" t="s">
        <v>27</v>
      </c>
      <c r="E6" s="16">
        <f>559593+10000+5340</f>
        <v>574933</v>
      </c>
      <c r="F6" s="19">
        <f t="shared" si="0"/>
        <v>61599.96428571432</v>
      </c>
      <c r="G6" s="19">
        <f t="shared" si="1"/>
        <v>0</v>
      </c>
      <c r="H6" s="6">
        <f t="shared" si="2"/>
        <v>47911.083333333336</v>
      </c>
      <c r="I6" s="6"/>
      <c r="J6" s="6">
        <v>0</v>
      </c>
      <c r="K6" s="19">
        <f t="shared" si="3"/>
        <v>0</v>
      </c>
      <c r="L6" s="24">
        <f t="shared" si="4"/>
        <v>47911.083333333336</v>
      </c>
      <c r="M6" s="25">
        <f t="shared" si="5"/>
        <v>328.158105022831</v>
      </c>
      <c r="N6" s="25">
        <f t="shared" si="6"/>
        <v>541.4608732876711</v>
      </c>
      <c r="O6" s="25">
        <f aca="true" t="shared" si="7" ref="O6:O20">(E6-(735*146))/1950</f>
        <v>239.80666666666667</v>
      </c>
    </row>
    <row r="7" spans="1:15" ht="10.5" customHeight="1">
      <c r="A7" s="4" t="s">
        <v>14</v>
      </c>
      <c r="B7" s="23" t="s">
        <v>26</v>
      </c>
      <c r="C7" s="23" t="s">
        <v>24</v>
      </c>
      <c r="D7" s="23"/>
      <c r="E7" s="16">
        <f>572108+10000+5340</f>
        <v>587448</v>
      </c>
      <c r="F7" s="19">
        <f t="shared" si="0"/>
        <v>62940.85714285716</v>
      </c>
      <c r="G7" s="19">
        <f t="shared" si="1"/>
        <v>0</v>
      </c>
      <c r="H7" s="6">
        <f t="shared" si="2"/>
        <v>48954</v>
      </c>
      <c r="I7" s="6"/>
      <c r="J7" s="6">
        <v>0</v>
      </c>
      <c r="K7" s="19">
        <f t="shared" si="3"/>
        <v>0</v>
      </c>
      <c r="L7" s="24">
        <f t="shared" si="4"/>
        <v>48954</v>
      </c>
      <c r="M7" s="25">
        <f t="shared" si="5"/>
        <v>335.3013698630137</v>
      </c>
      <c r="N7" s="25">
        <f t="shared" si="6"/>
        <v>553.2472602739725</v>
      </c>
      <c r="O7" s="25">
        <f t="shared" si="7"/>
        <v>246.2246153846154</v>
      </c>
    </row>
    <row r="8" spans="1:15" ht="10.5" customHeight="1">
      <c r="A8" s="4" t="s">
        <v>15</v>
      </c>
      <c r="B8" s="23" t="s">
        <v>29</v>
      </c>
      <c r="C8" s="23"/>
      <c r="D8" s="23"/>
      <c r="E8" s="16">
        <f>584625+10000+5340</f>
        <v>599965</v>
      </c>
      <c r="F8" s="19">
        <f t="shared" si="0"/>
        <v>64281.96428571432</v>
      </c>
      <c r="G8" s="19">
        <f t="shared" si="1"/>
        <v>0</v>
      </c>
      <c r="H8" s="6">
        <f t="shared" si="2"/>
        <v>49997.083333333336</v>
      </c>
      <c r="I8" s="6"/>
      <c r="J8" s="6">
        <v>0</v>
      </c>
      <c r="K8" s="19">
        <f t="shared" si="3"/>
        <v>0</v>
      </c>
      <c r="L8" s="24">
        <f t="shared" si="4"/>
        <v>49997.083333333336</v>
      </c>
      <c r="M8" s="25">
        <f t="shared" si="5"/>
        <v>342.44577625570776</v>
      </c>
      <c r="N8" s="25">
        <f t="shared" si="6"/>
        <v>565.0355308219177</v>
      </c>
      <c r="O8" s="25">
        <f t="shared" si="7"/>
        <v>252.64358974358976</v>
      </c>
    </row>
    <row r="9" spans="1:15" ht="10.5" customHeight="1">
      <c r="A9" s="4" t="s">
        <v>16</v>
      </c>
      <c r="B9" s="23"/>
      <c r="C9" s="23"/>
      <c r="D9" s="23"/>
      <c r="E9" s="16">
        <f>601031+10000+5340</f>
        <v>616371</v>
      </c>
      <c r="F9" s="19">
        <f t="shared" si="0"/>
        <v>66039.75</v>
      </c>
      <c r="G9" s="19">
        <f t="shared" si="1"/>
        <v>0</v>
      </c>
      <c r="H9" s="6">
        <f t="shared" si="2"/>
        <v>51364.25</v>
      </c>
      <c r="I9" s="6"/>
      <c r="J9" s="6">
        <v>0</v>
      </c>
      <c r="K9" s="19">
        <f t="shared" si="3"/>
        <v>0</v>
      </c>
      <c r="L9" s="24">
        <f t="shared" si="4"/>
        <v>51364.25</v>
      </c>
      <c r="M9" s="25">
        <f t="shared" si="5"/>
        <v>351.8099315068493</v>
      </c>
      <c r="N9" s="25">
        <f t="shared" si="6"/>
        <v>580.4863869863013</v>
      </c>
      <c r="O9" s="25">
        <f t="shared" si="7"/>
        <v>261.05692307692306</v>
      </c>
    </row>
    <row r="10" spans="1:15" ht="10.5" customHeight="1">
      <c r="A10" s="4" t="s">
        <v>30</v>
      </c>
      <c r="B10" s="23"/>
      <c r="C10" s="23"/>
      <c r="D10" s="23"/>
      <c r="E10" s="16">
        <f>616879+10000+5340</f>
        <v>632219</v>
      </c>
      <c r="F10" s="19">
        <f t="shared" si="0"/>
        <v>67737.75</v>
      </c>
      <c r="G10" s="19">
        <f t="shared" si="1"/>
        <v>0</v>
      </c>
      <c r="H10" s="6">
        <f t="shared" si="2"/>
        <v>52684.916666666664</v>
      </c>
      <c r="I10" s="6"/>
      <c r="J10" s="6">
        <v>0</v>
      </c>
      <c r="K10" s="19">
        <f t="shared" si="3"/>
        <v>0</v>
      </c>
      <c r="L10" s="24">
        <f t="shared" si="4"/>
        <v>52684.916666666664</v>
      </c>
      <c r="M10" s="25">
        <f t="shared" si="5"/>
        <v>360.85559360730593</v>
      </c>
      <c r="N10" s="25">
        <f t="shared" si="6"/>
        <v>595.4117294520547</v>
      </c>
      <c r="O10" s="25">
        <f t="shared" si="7"/>
        <v>269.18410256410255</v>
      </c>
    </row>
    <row r="11" spans="1:15" ht="10.5" customHeight="1">
      <c r="A11" s="4" t="s">
        <v>35</v>
      </c>
      <c r="B11" s="23"/>
      <c r="C11" s="23"/>
      <c r="D11" s="23"/>
      <c r="E11" s="16">
        <f>629379+10000+6340</f>
        <v>645719</v>
      </c>
      <c r="F11" s="19">
        <f>E11-(E11/1.12)</f>
        <v>69184.17857142864</v>
      </c>
      <c r="G11" s="19">
        <f>J11*132</f>
        <v>0</v>
      </c>
      <c r="H11" s="6">
        <f>E11/12</f>
        <v>53809.916666666664</v>
      </c>
      <c r="I11" s="6"/>
      <c r="J11" s="6">
        <v>0</v>
      </c>
      <c r="K11" s="19">
        <f>J11*146</f>
        <v>0</v>
      </c>
      <c r="L11" s="24">
        <f>(E11-K11)/12</f>
        <v>53809.916666666664</v>
      </c>
      <c r="M11" s="25">
        <f>E11/1752</f>
        <v>368.56107305936075</v>
      </c>
      <c r="N11" s="25">
        <f>M11*1.65</f>
        <v>608.1257705479452</v>
      </c>
      <c r="O11" s="25">
        <f t="shared" si="7"/>
        <v>276.1071794871795</v>
      </c>
    </row>
    <row r="12" spans="1:15" ht="10.5" customHeight="1">
      <c r="A12" s="4"/>
      <c r="B12" s="23"/>
      <c r="C12" s="23"/>
      <c r="D12" s="23"/>
      <c r="E12" s="20"/>
      <c r="F12" s="16"/>
      <c r="G12" s="16"/>
      <c r="H12" s="27"/>
      <c r="I12" s="28"/>
      <c r="J12" s="6"/>
      <c r="K12" s="19"/>
      <c r="L12" s="24"/>
      <c r="M12" s="25"/>
      <c r="N12" s="25"/>
      <c r="O12" s="25"/>
    </row>
    <row r="13" spans="1:19" ht="10.5" customHeight="1">
      <c r="A13" s="4" t="s">
        <v>39</v>
      </c>
      <c r="B13" s="38" t="s">
        <v>37</v>
      </c>
      <c r="C13" s="23" t="s">
        <v>20</v>
      </c>
      <c r="D13" s="23" t="s">
        <v>48</v>
      </c>
      <c r="E13" s="16">
        <f>569787+10000+5340</f>
        <v>585127</v>
      </c>
      <c r="F13" s="19">
        <f aca="true" t="shared" si="8" ref="F13:F20">E13-(E13/1.12)</f>
        <v>62692.17857142864</v>
      </c>
      <c r="G13" s="19">
        <f aca="true" t="shared" si="9" ref="G13:G19">J13*132</f>
        <v>0</v>
      </c>
      <c r="H13" s="6">
        <f aca="true" t="shared" si="10" ref="H13:H20">E13/12</f>
        <v>48760.583333333336</v>
      </c>
      <c r="I13" s="28"/>
      <c r="J13" s="6">
        <v>0</v>
      </c>
      <c r="K13" s="28">
        <f aca="true" t="shared" si="11" ref="K13:K20">892+14+9</f>
        <v>915</v>
      </c>
      <c r="L13" s="19">
        <f aca="true" t="shared" si="12" ref="L13:L18">J13*146</f>
        <v>0</v>
      </c>
      <c r="M13" s="25">
        <f aca="true" t="shared" si="13" ref="M13:M20">E13/1752</f>
        <v>333.976598173516</v>
      </c>
      <c r="N13" s="25">
        <f aca="true" t="shared" si="14" ref="N13:N20">M13*1.65</f>
        <v>551.0613869863014</v>
      </c>
      <c r="O13" s="25">
        <f t="shared" si="7"/>
        <v>245.03435897435898</v>
      </c>
      <c r="P13" s="25"/>
      <c r="Q13" s="30"/>
      <c r="R13" s="30"/>
      <c r="S13" s="30"/>
    </row>
    <row r="14" spans="1:19" ht="10.5" customHeight="1">
      <c r="A14" s="4" t="s">
        <v>40</v>
      </c>
      <c r="B14" s="23"/>
      <c r="C14" s="23" t="s">
        <v>47</v>
      </c>
      <c r="D14" s="23"/>
      <c r="E14" s="16">
        <f>582710+10000+5340</f>
        <v>598050</v>
      </c>
      <c r="F14" s="19">
        <f t="shared" si="8"/>
        <v>64076.7857142858</v>
      </c>
      <c r="G14" s="19">
        <f t="shared" si="9"/>
        <v>0</v>
      </c>
      <c r="H14" s="6">
        <f t="shared" si="10"/>
        <v>49837.5</v>
      </c>
      <c r="I14" s="28"/>
      <c r="J14" s="6">
        <v>0</v>
      </c>
      <c r="K14" s="28">
        <f t="shared" si="11"/>
        <v>915</v>
      </c>
      <c r="L14" s="19">
        <f t="shared" si="12"/>
        <v>0</v>
      </c>
      <c r="M14" s="25">
        <f t="shared" si="13"/>
        <v>341.3527397260274</v>
      </c>
      <c r="N14" s="25">
        <f t="shared" si="14"/>
        <v>563.2320205479451</v>
      </c>
      <c r="O14" s="25">
        <f t="shared" si="7"/>
        <v>251.66153846153847</v>
      </c>
      <c r="P14" s="25"/>
      <c r="Q14" s="30"/>
      <c r="R14" s="30"/>
      <c r="S14" s="30"/>
    </row>
    <row r="15" spans="1:19" ht="10.5" customHeight="1">
      <c r="A15" s="4" t="s">
        <v>41</v>
      </c>
      <c r="B15" s="23"/>
      <c r="C15" s="23"/>
      <c r="D15" s="23"/>
      <c r="E15" s="16">
        <f>595632+10000+5340</f>
        <v>610972</v>
      </c>
      <c r="F15" s="19">
        <f t="shared" si="8"/>
        <v>65461.2857142858</v>
      </c>
      <c r="G15" s="19">
        <f t="shared" si="9"/>
        <v>0</v>
      </c>
      <c r="H15" s="6">
        <f t="shared" si="10"/>
        <v>50914.333333333336</v>
      </c>
      <c r="I15" s="28"/>
      <c r="J15" s="6">
        <v>0</v>
      </c>
      <c r="K15" s="28">
        <f t="shared" si="11"/>
        <v>915</v>
      </c>
      <c r="L15" s="19">
        <f t="shared" si="12"/>
        <v>0</v>
      </c>
      <c r="M15" s="25">
        <f t="shared" si="13"/>
        <v>348.7283105022831</v>
      </c>
      <c r="N15" s="25">
        <f t="shared" si="14"/>
        <v>575.4017123287671</v>
      </c>
      <c r="O15" s="25">
        <f t="shared" si="7"/>
        <v>258.2882051282051</v>
      </c>
      <c r="P15" s="25"/>
      <c r="Q15" s="30"/>
      <c r="R15" s="30"/>
      <c r="S15" s="30"/>
    </row>
    <row r="16" spans="1:19" ht="10.5" customHeight="1">
      <c r="A16" s="4" t="s">
        <v>42</v>
      </c>
      <c r="B16" s="23"/>
      <c r="C16" s="30"/>
      <c r="D16" s="26"/>
      <c r="E16" s="16">
        <f>608555+10000+5340</f>
        <v>623895</v>
      </c>
      <c r="F16" s="19">
        <f t="shared" si="8"/>
        <v>66845.89285714296</v>
      </c>
      <c r="G16" s="19">
        <f t="shared" si="9"/>
        <v>0</v>
      </c>
      <c r="H16" s="6">
        <f t="shared" si="10"/>
        <v>51991.25</v>
      </c>
      <c r="I16" s="28"/>
      <c r="J16" s="6">
        <v>0</v>
      </c>
      <c r="K16" s="28">
        <f t="shared" si="11"/>
        <v>915</v>
      </c>
      <c r="L16" s="19">
        <f t="shared" si="12"/>
        <v>0</v>
      </c>
      <c r="M16" s="25">
        <f t="shared" si="13"/>
        <v>356.10445205479454</v>
      </c>
      <c r="N16" s="25">
        <f t="shared" si="14"/>
        <v>587.5723458904109</v>
      </c>
      <c r="O16" s="25">
        <f t="shared" si="7"/>
        <v>264.9153846153846</v>
      </c>
      <c r="P16" s="25"/>
      <c r="Q16" s="30"/>
      <c r="R16" s="30"/>
      <c r="S16" s="30"/>
    </row>
    <row r="17" spans="1:19" ht="10.5" customHeight="1">
      <c r="A17" s="4" t="s">
        <v>43</v>
      </c>
      <c r="B17" s="23"/>
      <c r="C17" s="30"/>
      <c r="D17" s="26"/>
      <c r="E17" s="16">
        <f>625002+10000+5340</f>
        <v>640342</v>
      </c>
      <c r="F17" s="19">
        <f t="shared" si="8"/>
        <v>68608.07142857148</v>
      </c>
      <c r="G17" s="19">
        <f t="shared" si="9"/>
        <v>0</v>
      </c>
      <c r="H17" s="6">
        <f t="shared" si="10"/>
        <v>53361.833333333336</v>
      </c>
      <c r="I17" s="28"/>
      <c r="J17" s="6">
        <v>0</v>
      </c>
      <c r="K17" s="28">
        <f t="shared" si="11"/>
        <v>915</v>
      </c>
      <c r="L17" s="19">
        <f t="shared" si="12"/>
        <v>0</v>
      </c>
      <c r="M17" s="25">
        <f t="shared" si="13"/>
        <v>365.4920091324201</v>
      </c>
      <c r="N17" s="25">
        <f t="shared" si="14"/>
        <v>603.0618150684932</v>
      </c>
      <c r="O17" s="25">
        <f t="shared" si="7"/>
        <v>273.3497435897436</v>
      </c>
      <c r="P17" s="25"/>
      <c r="Q17" s="30"/>
      <c r="R17" s="30"/>
      <c r="S17" s="30"/>
    </row>
    <row r="18" spans="1:19" ht="10.5" customHeight="1">
      <c r="A18" s="4" t="s">
        <v>44</v>
      </c>
      <c r="B18" s="23"/>
      <c r="C18" s="30"/>
      <c r="D18" s="26"/>
      <c r="E18" s="16">
        <f>640849+10000+5340</f>
        <v>656189</v>
      </c>
      <c r="F18" s="19">
        <f t="shared" si="8"/>
        <v>70305.96428571432</v>
      </c>
      <c r="G18" s="19">
        <f t="shared" si="9"/>
        <v>0</v>
      </c>
      <c r="H18" s="6">
        <f t="shared" si="10"/>
        <v>54682.416666666664</v>
      </c>
      <c r="I18" s="28"/>
      <c r="J18" s="6">
        <v>0</v>
      </c>
      <c r="K18" s="28">
        <f t="shared" si="11"/>
        <v>915</v>
      </c>
      <c r="L18" s="19">
        <f t="shared" si="12"/>
        <v>0</v>
      </c>
      <c r="M18" s="25">
        <f t="shared" si="13"/>
        <v>374.537100456621</v>
      </c>
      <c r="N18" s="25">
        <f t="shared" si="14"/>
        <v>617.9862157534246</v>
      </c>
      <c r="O18" s="25">
        <f t="shared" si="7"/>
        <v>281.47641025641025</v>
      </c>
      <c r="P18" s="25"/>
      <c r="Q18" s="30"/>
      <c r="R18" s="30"/>
      <c r="S18" s="30"/>
    </row>
    <row r="19" spans="1:19" ht="10.5" customHeight="1">
      <c r="A19" s="4" t="s">
        <v>45</v>
      </c>
      <c r="B19" s="23"/>
      <c r="C19" s="30"/>
      <c r="D19" s="26"/>
      <c r="E19" s="16">
        <f>656696+10000+5340</f>
        <v>672036</v>
      </c>
      <c r="F19" s="19">
        <f t="shared" si="8"/>
        <v>72003.85714285716</v>
      </c>
      <c r="G19" s="19">
        <f t="shared" si="9"/>
        <v>0</v>
      </c>
      <c r="H19" s="6">
        <f t="shared" si="10"/>
        <v>56003</v>
      </c>
      <c r="I19" s="28"/>
      <c r="J19" s="6">
        <v>0</v>
      </c>
      <c r="K19" s="28">
        <f t="shared" si="11"/>
        <v>915</v>
      </c>
      <c r="L19" s="19"/>
      <c r="M19" s="25">
        <f t="shared" si="13"/>
        <v>383.5821917808219</v>
      </c>
      <c r="N19" s="25">
        <f t="shared" si="14"/>
        <v>632.9106164383561</v>
      </c>
      <c r="O19" s="25">
        <f t="shared" si="7"/>
        <v>289.6030769230769</v>
      </c>
      <c r="P19" s="25"/>
      <c r="Q19" s="30"/>
      <c r="R19" s="30"/>
      <c r="S19" s="30"/>
    </row>
    <row r="20" spans="1:19" ht="10.5" customHeight="1">
      <c r="A20" s="4" t="s">
        <v>46</v>
      </c>
      <c r="B20" s="23"/>
      <c r="C20" s="30"/>
      <c r="D20" s="26"/>
      <c r="E20" s="16">
        <f>669196+10000+6340</f>
        <v>685536</v>
      </c>
      <c r="F20" s="19">
        <f t="shared" si="8"/>
        <v>73450.2857142858</v>
      </c>
      <c r="G20" s="19">
        <f>J20*132</f>
        <v>0</v>
      </c>
      <c r="H20" s="6">
        <f t="shared" si="10"/>
        <v>57128</v>
      </c>
      <c r="I20" s="28"/>
      <c r="J20" s="6">
        <v>0</v>
      </c>
      <c r="K20" s="28">
        <f t="shared" si="11"/>
        <v>915</v>
      </c>
      <c r="L20" s="19"/>
      <c r="M20" s="25">
        <f t="shared" si="13"/>
        <v>391.28767123287673</v>
      </c>
      <c r="N20" s="25">
        <f t="shared" si="14"/>
        <v>645.6246575342466</v>
      </c>
      <c r="O20" s="25">
        <f t="shared" si="7"/>
        <v>296.5261538461538</v>
      </c>
      <c r="P20" s="25"/>
      <c r="Q20" s="30"/>
      <c r="R20" s="30"/>
      <c r="S20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O20" sqref="O20"/>
    </sheetView>
  </sheetViews>
  <sheetFormatPr defaultColWidth="10.421875" defaultRowHeight="12" customHeight="1"/>
  <cols>
    <col min="1" max="1" width="10.140625" style="10" customWidth="1"/>
    <col min="2" max="2" width="20.421875" style="29" customWidth="1"/>
    <col min="3" max="3" width="17.00390625" style="29" customWidth="1"/>
    <col min="4" max="4" width="8.28125" style="29" bestFit="1" customWidth="1"/>
    <col min="5" max="5" width="8.7109375" style="31" bestFit="1" customWidth="1"/>
    <col min="6" max="6" width="6.57421875" style="32" bestFit="1" customWidth="1"/>
    <col min="7" max="7" width="7.140625" style="32" customWidth="1"/>
    <col min="8" max="8" width="7.7109375" style="33" bestFit="1" customWidth="1"/>
    <col min="9" max="9" width="0.85546875" style="34" customWidth="1"/>
    <col min="10" max="10" width="6.00390625" style="33" bestFit="1" customWidth="1"/>
    <col min="11" max="11" width="10.421875" style="35" hidden="1" customWidth="1"/>
    <col min="12" max="12" width="10.421875" style="26" hidden="1" customWidth="1"/>
    <col min="13" max="13" width="10.00390625" style="36" bestFit="1" customWidth="1"/>
    <col min="14" max="14" width="8.28125" style="36" bestFit="1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52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12</v>
      </c>
      <c r="B4" s="23" t="s">
        <v>23</v>
      </c>
      <c r="C4" s="23" t="s">
        <v>20</v>
      </c>
      <c r="D4" s="23" t="s">
        <v>22</v>
      </c>
      <c r="E4" s="16">
        <f>534560+10000+5340+12000</f>
        <v>561900</v>
      </c>
      <c r="F4" s="19">
        <f aca="true" t="shared" si="0" ref="F4:F10">E4-(E4/1.12)</f>
        <v>60203.57142857148</v>
      </c>
      <c r="G4" s="19">
        <f aca="true" t="shared" si="1" ref="G4:G10">J4*132</f>
        <v>0</v>
      </c>
      <c r="H4" s="6">
        <f aca="true" t="shared" si="2" ref="H4:H10">E4/12</f>
        <v>46825</v>
      </c>
      <c r="I4" s="6"/>
      <c r="J4" s="6">
        <v>0</v>
      </c>
      <c r="K4" s="19">
        <f aca="true" t="shared" si="3" ref="K4:K10">J4*146</f>
        <v>0</v>
      </c>
      <c r="L4" s="24">
        <f aca="true" t="shared" si="4" ref="L4:L10">(E4-K4)/12</f>
        <v>46825</v>
      </c>
      <c r="M4" s="25">
        <f aca="true" t="shared" si="5" ref="M4:M10">E4/1752</f>
        <v>320.7191780821918</v>
      </c>
      <c r="N4" s="25">
        <f aca="true" t="shared" si="6" ref="N4:N10">M4*1.65</f>
        <v>529.1866438356165</v>
      </c>
      <c r="O4" s="25">
        <f>(E4-(775*146))/1950</f>
        <v>230.12820512820514</v>
      </c>
    </row>
    <row r="5" spans="1:15" ht="10.5" customHeight="1">
      <c r="A5" s="4" t="s">
        <v>13</v>
      </c>
      <c r="B5" s="23"/>
      <c r="C5" s="23" t="s">
        <v>21</v>
      </c>
      <c r="D5" s="23"/>
      <c r="E5" s="16">
        <f>547077+10000+5340+12000</f>
        <v>574417</v>
      </c>
      <c r="F5" s="19">
        <f t="shared" si="0"/>
        <v>61544.67857142864</v>
      </c>
      <c r="G5" s="19">
        <f t="shared" si="1"/>
        <v>0</v>
      </c>
      <c r="H5" s="6">
        <f t="shared" si="2"/>
        <v>47868.083333333336</v>
      </c>
      <c r="I5" s="6"/>
      <c r="J5" s="6">
        <v>0</v>
      </c>
      <c r="K5" s="19">
        <f t="shared" si="3"/>
        <v>0</v>
      </c>
      <c r="L5" s="24">
        <f t="shared" si="4"/>
        <v>47868.083333333336</v>
      </c>
      <c r="M5" s="25">
        <f t="shared" si="5"/>
        <v>327.86358447488584</v>
      </c>
      <c r="N5" s="25">
        <f t="shared" si="6"/>
        <v>540.9749143835616</v>
      </c>
      <c r="O5" s="25">
        <f aca="true" t="shared" si="7" ref="O5:O20">(E5-(775*146))/1950</f>
        <v>236.54717948717948</v>
      </c>
    </row>
    <row r="6" spans="1:15" ht="10.5" customHeight="1">
      <c r="A6" s="4" t="s">
        <v>3</v>
      </c>
      <c r="B6" s="23" t="s">
        <v>25</v>
      </c>
      <c r="C6" s="23" t="s">
        <v>28</v>
      </c>
      <c r="D6" s="23" t="s">
        <v>27</v>
      </c>
      <c r="E6" s="16">
        <f>559593+10000+5340+12000</f>
        <v>586933</v>
      </c>
      <c r="F6" s="19">
        <f t="shared" si="0"/>
        <v>62885.67857142864</v>
      </c>
      <c r="G6" s="19">
        <f t="shared" si="1"/>
        <v>0</v>
      </c>
      <c r="H6" s="6">
        <f t="shared" si="2"/>
        <v>48911.083333333336</v>
      </c>
      <c r="I6" s="6"/>
      <c r="J6" s="6">
        <v>0</v>
      </c>
      <c r="K6" s="19">
        <f t="shared" si="3"/>
        <v>0</v>
      </c>
      <c r="L6" s="24">
        <f t="shared" si="4"/>
        <v>48911.083333333336</v>
      </c>
      <c r="M6" s="25">
        <f t="shared" si="5"/>
        <v>335.0074200913242</v>
      </c>
      <c r="N6" s="25">
        <f t="shared" si="6"/>
        <v>552.7622431506849</v>
      </c>
      <c r="O6" s="25">
        <f t="shared" si="7"/>
        <v>242.96564102564102</v>
      </c>
    </row>
    <row r="7" spans="1:15" ht="10.5" customHeight="1">
      <c r="A7" s="4" t="s">
        <v>14</v>
      </c>
      <c r="B7" s="23" t="s">
        <v>26</v>
      </c>
      <c r="C7" s="23" t="s">
        <v>24</v>
      </c>
      <c r="D7" s="23"/>
      <c r="E7" s="16">
        <f>572108+10000+5340+12000</f>
        <v>599448</v>
      </c>
      <c r="F7" s="19">
        <f t="shared" si="0"/>
        <v>64226.57142857148</v>
      </c>
      <c r="G7" s="19">
        <f t="shared" si="1"/>
        <v>0</v>
      </c>
      <c r="H7" s="6">
        <f t="shared" si="2"/>
        <v>49954</v>
      </c>
      <c r="I7" s="6"/>
      <c r="J7" s="6">
        <v>0</v>
      </c>
      <c r="K7" s="19">
        <f t="shared" si="3"/>
        <v>0</v>
      </c>
      <c r="L7" s="24">
        <f t="shared" si="4"/>
        <v>49954</v>
      </c>
      <c r="M7" s="25">
        <f t="shared" si="5"/>
        <v>342.1506849315069</v>
      </c>
      <c r="N7" s="25">
        <f t="shared" si="6"/>
        <v>564.5486301369863</v>
      </c>
      <c r="O7" s="25">
        <f t="shared" si="7"/>
        <v>249.38358974358974</v>
      </c>
    </row>
    <row r="8" spans="1:15" ht="10.5" customHeight="1">
      <c r="A8" s="4" t="s">
        <v>15</v>
      </c>
      <c r="B8" s="23" t="s">
        <v>29</v>
      </c>
      <c r="C8" s="23"/>
      <c r="D8" s="23"/>
      <c r="E8" s="16">
        <f>584625+10000+5340+12000</f>
        <v>611965</v>
      </c>
      <c r="F8" s="19">
        <f t="shared" si="0"/>
        <v>65567.67857142864</v>
      </c>
      <c r="G8" s="19">
        <f t="shared" si="1"/>
        <v>0</v>
      </c>
      <c r="H8" s="6">
        <f t="shared" si="2"/>
        <v>50997.083333333336</v>
      </c>
      <c r="I8" s="6"/>
      <c r="J8" s="6">
        <v>0</v>
      </c>
      <c r="K8" s="19">
        <f t="shared" si="3"/>
        <v>0</v>
      </c>
      <c r="L8" s="24">
        <f t="shared" si="4"/>
        <v>50997.083333333336</v>
      </c>
      <c r="M8" s="25">
        <f t="shared" si="5"/>
        <v>349.29509132420094</v>
      </c>
      <c r="N8" s="25">
        <f t="shared" si="6"/>
        <v>576.3369006849315</v>
      </c>
      <c r="O8" s="25">
        <f t="shared" si="7"/>
        <v>255.8025641025641</v>
      </c>
    </row>
    <row r="9" spans="1:15" ht="10.5" customHeight="1">
      <c r="A9" s="4" t="s">
        <v>16</v>
      </c>
      <c r="B9" s="23"/>
      <c r="C9" s="23"/>
      <c r="D9" s="23"/>
      <c r="E9" s="16">
        <f>601031+10000+5340+12000</f>
        <v>628371</v>
      </c>
      <c r="F9" s="19">
        <f t="shared" si="0"/>
        <v>67325.46428571432</v>
      </c>
      <c r="G9" s="19">
        <f t="shared" si="1"/>
        <v>0</v>
      </c>
      <c r="H9" s="6">
        <f t="shared" si="2"/>
        <v>52364.25</v>
      </c>
      <c r="I9" s="6"/>
      <c r="J9" s="6">
        <v>0</v>
      </c>
      <c r="K9" s="19">
        <f t="shared" si="3"/>
        <v>0</v>
      </c>
      <c r="L9" s="24">
        <f t="shared" si="4"/>
        <v>52364.25</v>
      </c>
      <c r="M9" s="25">
        <f t="shared" si="5"/>
        <v>358.6592465753425</v>
      </c>
      <c r="N9" s="25">
        <f t="shared" si="6"/>
        <v>591.7877568493151</v>
      </c>
      <c r="O9" s="25">
        <f t="shared" si="7"/>
        <v>264.21589743589743</v>
      </c>
    </row>
    <row r="10" spans="1:15" ht="10.5" customHeight="1">
      <c r="A10" s="4" t="s">
        <v>30</v>
      </c>
      <c r="B10" s="23"/>
      <c r="C10" s="23"/>
      <c r="D10" s="23"/>
      <c r="E10" s="16">
        <f>616879+10000+5340+12000</f>
        <v>644219</v>
      </c>
      <c r="F10" s="19">
        <f t="shared" si="0"/>
        <v>69023.46428571432</v>
      </c>
      <c r="G10" s="19">
        <f t="shared" si="1"/>
        <v>0</v>
      </c>
      <c r="H10" s="6">
        <f t="shared" si="2"/>
        <v>53684.916666666664</v>
      </c>
      <c r="I10" s="6"/>
      <c r="J10" s="6">
        <v>0</v>
      </c>
      <c r="K10" s="19">
        <f t="shared" si="3"/>
        <v>0</v>
      </c>
      <c r="L10" s="24">
        <f t="shared" si="4"/>
        <v>53684.916666666664</v>
      </c>
      <c r="M10" s="25">
        <f t="shared" si="5"/>
        <v>367.70490867579906</v>
      </c>
      <c r="N10" s="25">
        <f t="shared" si="6"/>
        <v>606.7130993150685</v>
      </c>
      <c r="O10" s="25">
        <f t="shared" si="7"/>
        <v>272.3430769230769</v>
      </c>
    </row>
    <row r="11" spans="1:15" ht="10.5" customHeight="1">
      <c r="A11" s="4" t="s">
        <v>35</v>
      </c>
      <c r="B11" s="23"/>
      <c r="C11" s="23"/>
      <c r="D11" s="23"/>
      <c r="E11" s="16">
        <f>629379+10000+6340+12000</f>
        <v>657719</v>
      </c>
      <c r="F11" s="19">
        <f>E11-(E11/1.12)</f>
        <v>70469.89285714296</v>
      </c>
      <c r="G11" s="19">
        <f>J11*132</f>
        <v>0</v>
      </c>
      <c r="H11" s="6">
        <f>E11/12</f>
        <v>54809.916666666664</v>
      </c>
      <c r="I11" s="6"/>
      <c r="J11" s="6">
        <v>0</v>
      </c>
      <c r="K11" s="19">
        <f>J11*146</f>
        <v>0</v>
      </c>
      <c r="L11" s="24">
        <f>(E11-K11)/12</f>
        <v>54809.916666666664</v>
      </c>
      <c r="M11" s="25">
        <f>E11/1752</f>
        <v>375.4103881278539</v>
      </c>
      <c r="N11" s="25">
        <f>M11*1.65</f>
        <v>619.4271404109588</v>
      </c>
      <c r="O11" s="25">
        <f t="shared" si="7"/>
        <v>279.2661538461538</v>
      </c>
    </row>
    <row r="12" spans="1:15" ht="10.5" customHeight="1">
      <c r="A12" s="4"/>
      <c r="B12" s="23"/>
      <c r="C12" s="23"/>
      <c r="D12" s="23"/>
      <c r="E12" s="20"/>
      <c r="F12" s="16"/>
      <c r="G12" s="16"/>
      <c r="H12" s="27"/>
      <c r="I12" s="28"/>
      <c r="J12" s="6"/>
      <c r="K12" s="19"/>
      <c r="L12" s="24"/>
      <c r="M12" s="25"/>
      <c r="N12" s="25"/>
      <c r="O12" s="25"/>
    </row>
    <row r="13" spans="1:19" ht="10.5" customHeight="1">
      <c r="A13" s="4" t="s">
        <v>39</v>
      </c>
      <c r="B13" s="38" t="s">
        <v>37</v>
      </c>
      <c r="C13" s="23" t="s">
        <v>20</v>
      </c>
      <c r="D13" s="23" t="s">
        <v>48</v>
      </c>
      <c r="E13" s="16">
        <f>569787+10000+5340+12000</f>
        <v>597127</v>
      </c>
      <c r="F13" s="19">
        <f aca="true" t="shared" si="8" ref="F13:F20">E13-(E13/1.12)</f>
        <v>63977.89285714296</v>
      </c>
      <c r="G13" s="19">
        <f aca="true" t="shared" si="9" ref="G13:G19">J13*132</f>
        <v>0</v>
      </c>
      <c r="H13" s="6">
        <f aca="true" t="shared" si="10" ref="H13:H20">E13/12</f>
        <v>49760.583333333336</v>
      </c>
      <c r="I13" s="28"/>
      <c r="J13" s="6">
        <v>0</v>
      </c>
      <c r="K13" s="28">
        <f aca="true" t="shared" si="11" ref="K13:K20">892+14+9</f>
        <v>915</v>
      </c>
      <c r="L13" s="19">
        <f aca="true" t="shared" si="12" ref="L13:L18">J13*146</f>
        <v>0</v>
      </c>
      <c r="M13" s="25">
        <f aca="true" t="shared" si="13" ref="M13:M20">E13/1752</f>
        <v>340.8259132420091</v>
      </c>
      <c r="N13" s="25">
        <f aca="true" t="shared" si="14" ref="N13:N20">M13*1.65</f>
        <v>562.362756849315</v>
      </c>
      <c r="O13" s="25">
        <f t="shared" si="7"/>
        <v>248.19333333333333</v>
      </c>
      <c r="P13" s="25"/>
      <c r="Q13" s="30"/>
      <c r="R13" s="30"/>
      <c r="S13" s="30"/>
    </row>
    <row r="14" spans="1:19" ht="10.5" customHeight="1">
      <c r="A14" s="4" t="s">
        <v>40</v>
      </c>
      <c r="B14" s="23"/>
      <c r="C14" s="23" t="s">
        <v>47</v>
      </c>
      <c r="D14" s="23"/>
      <c r="E14" s="16">
        <f>582710+10000+5340+12000</f>
        <v>610050</v>
      </c>
      <c r="F14" s="19">
        <f t="shared" si="8"/>
        <v>65362.5</v>
      </c>
      <c r="G14" s="19">
        <f t="shared" si="9"/>
        <v>0</v>
      </c>
      <c r="H14" s="6">
        <f t="shared" si="10"/>
        <v>50837.5</v>
      </c>
      <c r="I14" s="28"/>
      <c r="J14" s="6">
        <v>0</v>
      </c>
      <c r="K14" s="28">
        <f t="shared" si="11"/>
        <v>915</v>
      </c>
      <c r="L14" s="19">
        <f t="shared" si="12"/>
        <v>0</v>
      </c>
      <c r="M14" s="25">
        <f t="shared" si="13"/>
        <v>348.20205479452056</v>
      </c>
      <c r="N14" s="25">
        <f t="shared" si="14"/>
        <v>574.5333904109589</v>
      </c>
      <c r="O14" s="25">
        <f t="shared" si="7"/>
        <v>254.82051282051282</v>
      </c>
      <c r="P14" s="25"/>
      <c r="Q14" s="30"/>
      <c r="R14" s="30"/>
      <c r="S14" s="30"/>
    </row>
    <row r="15" spans="1:19" ht="10.5" customHeight="1">
      <c r="A15" s="4" t="s">
        <v>41</v>
      </c>
      <c r="B15" s="23"/>
      <c r="C15" s="23"/>
      <c r="D15" s="23"/>
      <c r="E15" s="16">
        <f>595632+10000+5340+12000</f>
        <v>622972</v>
      </c>
      <c r="F15" s="19">
        <f t="shared" si="8"/>
        <v>66747</v>
      </c>
      <c r="G15" s="19">
        <f t="shared" si="9"/>
        <v>0</v>
      </c>
      <c r="H15" s="6">
        <f t="shared" si="10"/>
        <v>51914.333333333336</v>
      </c>
      <c r="I15" s="28"/>
      <c r="J15" s="6">
        <v>0</v>
      </c>
      <c r="K15" s="28">
        <f t="shared" si="11"/>
        <v>915</v>
      </c>
      <c r="L15" s="19">
        <f t="shared" si="12"/>
        <v>0</v>
      </c>
      <c r="M15" s="25">
        <f t="shared" si="13"/>
        <v>355.57762557077626</v>
      </c>
      <c r="N15" s="25">
        <f t="shared" si="14"/>
        <v>586.7030821917808</v>
      </c>
      <c r="O15" s="25">
        <f t="shared" si="7"/>
        <v>261.4471794871795</v>
      </c>
      <c r="P15" s="25"/>
      <c r="Q15" s="30"/>
      <c r="R15" s="30"/>
      <c r="S15" s="30"/>
    </row>
    <row r="16" spans="1:19" ht="10.5" customHeight="1">
      <c r="A16" s="4" t="s">
        <v>42</v>
      </c>
      <c r="B16" s="23"/>
      <c r="C16" s="30"/>
      <c r="D16" s="26"/>
      <c r="E16" s="16">
        <f>608555+10000+5340+12000</f>
        <v>635895</v>
      </c>
      <c r="F16" s="19">
        <f t="shared" si="8"/>
        <v>68131.60714285716</v>
      </c>
      <c r="G16" s="19">
        <f t="shared" si="9"/>
        <v>0</v>
      </c>
      <c r="H16" s="6">
        <f t="shared" si="10"/>
        <v>52991.25</v>
      </c>
      <c r="I16" s="28"/>
      <c r="J16" s="6">
        <v>0</v>
      </c>
      <c r="K16" s="28">
        <f t="shared" si="11"/>
        <v>915</v>
      </c>
      <c r="L16" s="19">
        <f t="shared" si="12"/>
        <v>0</v>
      </c>
      <c r="M16" s="25">
        <f t="shared" si="13"/>
        <v>362.95376712328766</v>
      </c>
      <c r="N16" s="25">
        <f t="shared" si="14"/>
        <v>598.8737157534246</v>
      </c>
      <c r="O16" s="25">
        <f t="shared" si="7"/>
        <v>268.074358974359</v>
      </c>
      <c r="P16" s="25"/>
      <c r="Q16" s="30"/>
      <c r="R16" s="30"/>
      <c r="S16" s="30"/>
    </row>
    <row r="17" spans="1:19" ht="10.5" customHeight="1">
      <c r="A17" s="4" t="s">
        <v>43</v>
      </c>
      <c r="B17" s="23"/>
      <c r="C17" s="30"/>
      <c r="D17" s="26"/>
      <c r="E17" s="16">
        <f>625002+10000+5340+12000</f>
        <v>652342</v>
      </c>
      <c r="F17" s="19">
        <f t="shared" si="8"/>
        <v>69893.7857142858</v>
      </c>
      <c r="G17" s="19">
        <f t="shared" si="9"/>
        <v>0</v>
      </c>
      <c r="H17" s="6">
        <f t="shared" si="10"/>
        <v>54361.833333333336</v>
      </c>
      <c r="I17" s="28"/>
      <c r="J17" s="6">
        <v>0</v>
      </c>
      <c r="K17" s="28">
        <f t="shared" si="11"/>
        <v>915</v>
      </c>
      <c r="L17" s="19">
        <f t="shared" si="12"/>
        <v>0</v>
      </c>
      <c r="M17" s="25">
        <f t="shared" si="13"/>
        <v>372.3413242009132</v>
      </c>
      <c r="N17" s="25">
        <f t="shared" si="14"/>
        <v>614.3631849315068</v>
      </c>
      <c r="O17" s="25">
        <f t="shared" si="7"/>
        <v>276.50871794871796</v>
      </c>
      <c r="P17" s="25"/>
      <c r="Q17" s="30"/>
      <c r="R17" s="30"/>
      <c r="S17" s="30"/>
    </row>
    <row r="18" spans="1:19" ht="10.5" customHeight="1">
      <c r="A18" s="4" t="s">
        <v>44</v>
      </c>
      <c r="B18" s="23"/>
      <c r="C18" s="30"/>
      <c r="D18" s="26"/>
      <c r="E18" s="16">
        <f>640849+10000+5340+12000</f>
        <v>668189</v>
      </c>
      <c r="F18" s="19">
        <f t="shared" si="8"/>
        <v>71591.67857142864</v>
      </c>
      <c r="G18" s="19">
        <f t="shared" si="9"/>
        <v>0</v>
      </c>
      <c r="H18" s="6">
        <f t="shared" si="10"/>
        <v>55682.416666666664</v>
      </c>
      <c r="I18" s="28"/>
      <c r="J18" s="6">
        <v>0</v>
      </c>
      <c r="K18" s="28">
        <f t="shared" si="11"/>
        <v>915</v>
      </c>
      <c r="L18" s="19">
        <f t="shared" si="12"/>
        <v>0</v>
      </c>
      <c r="M18" s="25">
        <f t="shared" si="13"/>
        <v>381.38641552511416</v>
      </c>
      <c r="N18" s="25">
        <f t="shared" si="14"/>
        <v>629.2875856164384</v>
      </c>
      <c r="O18" s="25">
        <f t="shared" si="7"/>
        <v>284.6353846153846</v>
      </c>
      <c r="P18" s="25"/>
      <c r="Q18" s="30"/>
      <c r="R18" s="30"/>
      <c r="S18" s="30"/>
    </row>
    <row r="19" spans="1:19" ht="10.5" customHeight="1">
      <c r="A19" s="4" t="s">
        <v>45</v>
      </c>
      <c r="B19" s="23"/>
      <c r="C19" s="30"/>
      <c r="D19" s="26"/>
      <c r="E19" s="16">
        <f>656696+10000+5340+12000</f>
        <v>684036</v>
      </c>
      <c r="F19" s="19">
        <f t="shared" si="8"/>
        <v>73289.57142857148</v>
      </c>
      <c r="G19" s="19">
        <f t="shared" si="9"/>
        <v>0</v>
      </c>
      <c r="H19" s="6">
        <f t="shared" si="10"/>
        <v>57003</v>
      </c>
      <c r="I19" s="28"/>
      <c r="J19" s="6">
        <v>0</v>
      </c>
      <c r="K19" s="28">
        <f t="shared" si="11"/>
        <v>915</v>
      </c>
      <c r="L19" s="19"/>
      <c r="M19" s="25">
        <f t="shared" si="13"/>
        <v>390.43150684931504</v>
      </c>
      <c r="N19" s="25">
        <f t="shared" si="14"/>
        <v>644.2119863013697</v>
      </c>
      <c r="O19" s="25">
        <f t="shared" si="7"/>
        <v>292.7620512820513</v>
      </c>
      <c r="P19" s="25"/>
      <c r="Q19" s="30"/>
      <c r="R19" s="30"/>
      <c r="S19" s="30"/>
    </row>
    <row r="20" spans="1:19" ht="10.5" customHeight="1">
      <c r="A20" s="4" t="s">
        <v>46</v>
      </c>
      <c r="B20" s="23"/>
      <c r="C20" s="30"/>
      <c r="D20" s="26"/>
      <c r="E20" s="16">
        <f>669196+10000+6340+12000</f>
        <v>697536</v>
      </c>
      <c r="F20" s="19">
        <f t="shared" si="8"/>
        <v>74736.00000000012</v>
      </c>
      <c r="G20" s="19">
        <f>J20*132</f>
        <v>0</v>
      </c>
      <c r="H20" s="6">
        <f t="shared" si="10"/>
        <v>58128</v>
      </c>
      <c r="I20" s="28"/>
      <c r="J20" s="6">
        <v>0</v>
      </c>
      <c r="K20" s="28">
        <f t="shared" si="11"/>
        <v>915</v>
      </c>
      <c r="L20" s="19"/>
      <c r="M20" s="25">
        <f t="shared" si="13"/>
        <v>398.13698630136986</v>
      </c>
      <c r="N20" s="25">
        <f t="shared" si="14"/>
        <v>656.9260273972602</v>
      </c>
      <c r="O20" s="25">
        <f t="shared" si="7"/>
        <v>299.6851282051282</v>
      </c>
      <c r="P20" s="25"/>
      <c r="Q20" s="30"/>
      <c r="R20" s="30"/>
      <c r="S20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O13" sqref="O13:O20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53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12</v>
      </c>
      <c r="B4" s="23" t="s">
        <v>23</v>
      </c>
      <c r="C4" s="23" t="s">
        <v>20</v>
      </c>
      <c r="D4" s="23" t="s">
        <v>22</v>
      </c>
      <c r="E4" s="16">
        <f>534560+10000+5340+12000+12000</f>
        <v>573900</v>
      </c>
      <c r="F4" s="19">
        <f aca="true" t="shared" si="0" ref="F4:F10">E4-(E4/1.12)</f>
        <v>61489.28571428574</v>
      </c>
      <c r="G4" s="19">
        <f aca="true" t="shared" si="1" ref="G4:G10">J4*132</f>
        <v>0</v>
      </c>
      <c r="H4" s="6">
        <f aca="true" t="shared" si="2" ref="H4:H10">E4/12</f>
        <v>47825</v>
      </c>
      <c r="I4" s="6"/>
      <c r="J4" s="6">
        <v>0</v>
      </c>
      <c r="K4" s="19">
        <f aca="true" t="shared" si="3" ref="K4:K10">J4*146</f>
        <v>0</v>
      </c>
      <c r="L4" s="24">
        <f aca="true" t="shared" si="4" ref="L4:L10">(E4-K4)/12</f>
        <v>47825</v>
      </c>
      <c r="M4" s="25">
        <f aca="true" t="shared" si="5" ref="M4:M10">E4/1752</f>
        <v>327.56849315068496</v>
      </c>
      <c r="N4" s="25">
        <f aca="true" t="shared" si="6" ref="N4:N10">M4*1.65</f>
        <v>540.4880136986302</v>
      </c>
      <c r="O4" s="25">
        <f>(E4-(775*146))/1950</f>
        <v>236.28205128205127</v>
      </c>
    </row>
    <row r="5" spans="1:15" ht="10.5" customHeight="1">
      <c r="A5" s="4" t="s">
        <v>13</v>
      </c>
      <c r="B5" s="23"/>
      <c r="C5" s="23" t="s">
        <v>21</v>
      </c>
      <c r="D5" s="23"/>
      <c r="E5" s="16">
        <f>547077+10000+5340+12000+12000</f>
        <v>586417</v>
      </c>
      <c r="F5" s="19">
        <f t="shared" si="0"/>
        <v>62830.3928571429</v>
      </c>
      <c r="G5" s="19">
        <f t="shared" si="1"/>
        <v>0</v>
      </c>
      <c r="H5" s="6">
        <f t="shared" si="2"/>
        <v>48868.083333333336</v>
      </c>
      <c r="I5" s="6"/>
      <c r="J5" s="6">
        <v>0</v>
      </c>
      <c r="K5" s="19">
        <f t="shared" si="3"/>
        <v>0</v>
      </c>
      <c r="L5" s="24">
        <f t="shared" si="4"/>
        <v>48868.083333333336</v>
      </c>
      <c r="M5" s="25">
        <f t="shared" si="5"/>
        <v>334.712899543379</v>
      </c>
      <c r="N5" s="25">
        <f t="shared" si="6"/>
        <v>552.2762842465754</v>
      </c>
      <c r="O5" s="25">
        <f aca="true" t="shared" si="7" ref="O5:O20">(E5-(775*146))/1950</f>
        <v>242.70102564102564</v>
      </c>
    </row>
    <row r="6" spans="1:15" ht="10.5" customHeight="1">
      <c r="A6" s="4" t="s">
        <v>3</v>
      </c>
      <c r="B6" s="23" t="s">
        <v>25</v>
      </c>
      <c r="C6" s="23" t="s">
        <v>28</v>
      </c>
      <c r="D6" s="23" t="s">
        <v>27</v>
      </c>
      <c r="E6" s="16">
        <f>559593+10000+5340+12000+12000</f>
        <v>598933</v>
      </c>
      <c r="F6" s="19">
        <f t="shared" si="0"/>
        <v>64171.39285714296</v>
      </c>
      <c r="G6" s="19">
        <f t="shared" si="1"/>
        <v>0</v>
      </c>
      <c r="H6" s="6">
        <f t="shared" si="2"/>
        <v>49911.083333333336</v>
      </c>
      <c r="I6" s="6"/>
      <c r="J6" s="6">
        <v>0</v>
      </c>
      <c r="K6" s="19">
        <f t="shared" si="3"/>
        <v>0</v>
      </c>
      <c r="L6" s="24">
        <f t="shared" si="4"/>
        <v>49911.083333333336</v>
      </c>
      <c r="M6" s="25">
        <f t="shared" si="5"/>
        <v>341.85673515981733</v>
      </c>
      <c r="N6" s="25">
        <f t="shared" si="6"/>
        <v>564.0636130136986</v>
      </c>
      <c r="O6" s="25">
        <f t="shared" si="7"/>
        <v>249.11948717948718</v>
      </c>
    </row>
    <row r="7" spans="1:15" ht="10.5" customHeight="1">
      <c r="A7" s="4" t="s">
        <v>14</v>
      </c>
      <c r="B7" s="23" t="s">
        <v>26</v>
      </c>
      <c r="C7" s="23" t="s">
        <v>24</v>
      </c>
      <c r="D7" s="23"/>
      <c r="E7" s="16">
        <f>572108+10000+5340+12000+12000</f>
        <v>611448</v>
      </c>
      <c r="F7" s="19">
        <f t="shared" si="0"/>
        <v>65512.2857142858</v>
      </c>
      <c r="G7" s="19">
        <f t="shared" si="1"/>
        <v>0</v>
      </c>
      <c r="H7" s="6">
        <f t="shared" si="2"/>
        <v>50954</v>
      </c>
      <c r="I7" s="6"/>
      <c r="J7" s="6">
        <v>0</v>
      </c>
      <c r="K7" s="19">
        <f t="shared" si="3"/>
        <v>0</v>
      </c>
      <c r="L7" s="24">
        <f t="shared" si="4"/>
        <v>50954</v>
      </c>
      <c r="M7" s="25">
        <f t="shared" si="5"/>
        <v>349</v>
      </c>
      <c r="N7" s="25">
        <f t="shared" si="6"/>
        <v>575.85</v>
      </c>
      <c r="O7" s="25">
        <f t="shared" si="7"/>
        <v>255.5374358974359</v>
      </c>
    </row>
    <row r="8" spans="1:15" ht="10.5" customHeight="1">
      <c r="A8" s="4" t="s">
        <v>15</v>
      </c>
      <c r="B8" s="23" t="s">
        <v>29</v>
      </c>
      <c r="C8" s="23"/>
      <c r="D8" s="23"/>
      <c r="E8" s="16">
        <f>584625+10000+5340+12000+12000</f>
        <v>623965</v>
      </c>
      <c r="F8" s="19">
        <f t="shared" si="0"/>
        <v>66853.39285714296</v>
      </c>
      <c r="G8" s="19">
        <f t="shared" si="1"/>
        <v>0</v>
      </c>
      <c r="H8" s="6">
        <f t="shared" si="2"/>
        <v>51997.083333333336</v>
      </c>
      <c r="I8" s="6"/>
      <c r="J8" s="6">
        <v>0</v>
      </c>
      <c r="K8" s="19">
        <f t="shared" si="3"/>
        <v>0</v>
      </c>
      <c r="L8" s="24">
        <f t="shared" si="4"/>
        <v>51997.083333333336</v>
      </c>
      <c r="M8" s="25">
        <f t="shared" si="5"/>
        <v>356.14440639269407</v>
      </c>
      <c r="N8" s="25">
        <f t="shared" si="6"/>
        <v>587.6382705479451</v>
      </c>
      <c r="O8" s="25">
        <f t="shared" si="7"/>
        <v>261.95641025641027</v>
      </c>
    </row>
    <row r="9" spans="1:15" ht="10.5" customHeight="1">
      <c r="A9" s="4" t="s">
        <v>16</v>
      </c>
      <c r="B9" s="23"/>
      <c r="C9" s="23"/>
      <c r="D9" s="23"/>
      <c r="E9" s="16">
        <f>601031+10000+5340+12000+12000</f>
        <v>640371</v>
      </c>
      <c r="F9" s="19">
        <f t="shared" si="0"/>
        <v>68611.17857142864</v>
      </c>
      <c r="G9" s="19">
        <f t="shared" si="1"/>
        <v>0</v>
      </c>
      <c r="H9" s="6">
        <f t="shared" si="2"/>
        <v>53364.25</v>
      </c>
      <c r="I9" s="6"/>
      <c r="J9" s="6">
        <v>0</v>
      </c>
      <c r="K9" s="19">
        <f t="shared" si="3"/>
        <v>0</v>
      </c>
      <c r="L9" s="24">
        <f t="shared" si="4"/>
        <v>53364.25</v>
      </c>
      <c r="M9" s="25">
        <f t="shared" si="5"/>
        <v>365.5085616438356</v>
      </c>
      <c r="N9" s="25">
        <f t="shared" si="6"/>
        <v>603.0891267123287</v>
      </c>
      <c r="O9" s="25">
        <f t="shared" si="7"/>
        <v>270.36974358974356</v>
      </c>
    </row>
    <row r="10" spans="1:15" ht="10.5" customHeight="1">
      <c r="A10" s="4" t="s">
        <v>30</v>
      </c>
      <c r="B10" s="23"/>
      <c r="C10" s="23"/>
      <c r="D10" s="23"/>
      <c r="E10" s="16">
        <f>616879+10000+5340+12000+12000</f>
        <v>656219</v>
      </c>
      <c r="F10" s="19">
        <f t="shared" si="0"/>
        <v>70309.17857142864</v>
      </c>
      <c r="G10" s="19">
        <f t="shared" si="1"/>
        <v>0</v>
      </c>
      <c r="H10" s="6">
        <f t="shared" si="2"/>
        <v>54684.916666666664</v>
      </c>
      <c r="I10" s="6"/>
      <c r="J10" s="6">
        <v>0</v>
      </c>
      <c r="K10" s="19">
        <f t="shared" si="3"/>
        <v>0</v>
      </c>
      <c r="L10" s="24">
        <f t="shared" si="4"/>
        <v>54684.916666666664</v>
      </c>
      <c r="M10" s="25">
        <f t="shared" si="5"/>
        <v>374.55422374429224</v>
      </c>
      <c r="N10" s="25">
        <f t="shared" si="6"/>
        <v>618.0144691780822</v>
      </c>
      <c r="O10" s="25">
        <f t="shared" si="7"/>
        <v>278.49692307692305</v>
      </c>
    </row>
    <row r="11" spans="1:15" ht="10.5" customHeight="1">
      <c r="A11" s="4" t="s">
        <v>35</v>
      </c>
      <c r="B11" s="23"/>
      <c r="C11" s="23"/>
      <c r="D11" s="23"/>
      <c r="E11" s="16">
        <f>629379+10000+6340+12000+12000</f>
        <v>669719</v>
      </c>
      <c r="F11" s="19">
        <f>E11-(E11/1.12)</f>
        <v>71755.60714285716</v>
      </c>
      <c r="G11" s="19">
        <f>J11*132</f>
        <v>0</v>
      </c>
      <c r="H11" s="6">
        <f>E11/12</f>
        <v>55809.916666666664</v>
      </c>
      <c r="I11" s="6"/>
      <c r="J11" s="6">
        <v>0</v>
      </c>
      <c r="K11" s="19">
        <f>J11*146</f>
        <v>0</v>
      </c>
      <c r="L11" s="24">
        <f>(E11-K11)/12</f>
        <v>55809.916666666664</v>
      </c>
      <c r="M11" s="25">
        <f>E11/1752</f>
        <v>382.259703196347</v>
      </c>
      <c r="N11" s="25">
        <f>M11*1.65</f>
        <v>630.7285102739726</v>
      </c>
      <c r="O11" s="25">
        <f t="shared" si="7"/>
        <v>285.42</v>
      </c>
    </row>
    <row r="12" spans="1:15" ht="10.5" customHeight="1">
      <c r="A12" s="4"/>
      <c r="B12" s="23"/>
      <c r="C12" s="23"/>
      <c r="D12" s="23"/>
      <c r="E12" s="20"/>
      <c r="F12" s="16"/>
      <c r="G12" s="16"/>
      <c r="H12" s="27"/>
      <c r="I12" s="28"/>
      <c r="J12" s="6"/>
      <c r="K12" s="19"/>
      <c r="L12" s="24"/>
      <c r="M12" s="25"/>
      <c r="N12" s="25"/>
      <c r="O12" s="25"/>
    </row>
    <row r="13" spans="1:19" ht="10.5" customHeight="1">
      <c r="A13" s="4" t="s">
        <v>39</v>
      </c>
      <c r="B13" s="38" t="s">
        <v>37</v>
      </c>
      <c r="C13" s="23" t="s">
        <v>20</v>
      </c>
      <c r="D13" s="23" t="s">
        <v>48</v>
      </c>
      <c r="E13" s="16">
        <f>569787+10000+5340+12000+12000</f>
        <v>609127</v>
      </c>
      <c r="F13" s="19">
        <f aca="true" t="shared" si="8" ref="F13:F20">E13-(E13/1.12)</f>
        <v>65263.60714285716</v>
      </c>
      <c r="G13" s="19">
        <f aca="true" t="shared" si="9" ref="G13:G19">J13*132</f>
        <v>0</v>
      </c>
      <c r="H13" s="6">
        <f aca="true" t="shared" si="10" ref="H13:H20">E13/12</f>
        <v>50760.583333333336</v>
      </c>
      <c r="I13" s="28"/>
      <c r="J13" s="6">
        <v>0</v>
      </c>
      <c r="K13" s="28">
        <f aca="true" t="shared" si="11" ref="K13:K20">892+14+9</f>
        <v>915</v>
      </c>
      <c r="L13" s="19">
        <f aca="true" t="shared" si="12" ref="L13:L18">J13*146</f>
        <v>0</v>
      </c>
      <c r="M13" s="25">
        <f aca="true" t="shared" si="13" ref="M13:M20">E13/1752</f>
        <v>347.6752283105023</v>
      </c>
      <c r="N13" s="25">
        <f aca="true" t="shared" si="14" ref="N13:N20">M13*1.65</f>
        <v>573.6641267123288</v>
      </c>
      <c r="O13" s="25">
        <f t="shared" si="7"/>
        <v>254.3471794871795</v>
      </c>
      <c r="P13" s="25"/>
      <c r="Q13" s="30"/>
      <c r="R13" s="30"/>
      <c r="S13" s="30"/>
    </row>
    <row r="14" spans="1:19" ht="10.5" customHeight="1">
      <c r="A14" s="4" t="s">
        <v>40</v>
      </c>
      <c r="B14" s="23"/>
      <c r="C14" s="23" t="s">
        <v>47</v>
      </c>
      <c r="D14" s="23"/>
      <c r="E14" s="16">
        <f>582710+10000+5340+12000+12000</f>
        <v>622050</v>
      </c>
      <c r="F14" s="19">
        <f t="shared" si="8"/>
        <v>66648.21428571432</v>
      </c>
      <c r="G14" s="19">
        <f t="shared" si="9"/>
        <v>0</v>
      </c>
      <c r="H14" s="6">
        <f t="shared" si="10"/>
        <v>51837.5</v>
      </c>
      <c r="I14" s="28"/>
      <c r="J14" s="6">
        <v>0</v>
      </c>
      <c r="K14" s="28">
        <f t="shared" si="11"/>
        <v>915</v>
      </c>
      <c r="L14" s="19">
        <f t="shared" si="12"/>
        <v>0</v>
      </c>
      <c r="M14" s="25">
        <f t="shared" si="13"/>
        <v>355.0513698630137</v>
      </c>
      <c r="N14" s="25">
        <f t="shared" si="14"/>
        <v>585.8347602739725</v>
      </c>
      <c r="O14" s="25">
        <f t="shared" si="7"/>
        <v>260.97435897435895</v>
      </c>
      <c r="P14" s="25"/>
      <c r="Q14" s="30"/>
      <c r="R14" s="30"/>
      <c r="S14" s="30"/>
    </row>
    <row r="15" spans="1:19" ht="10.5" customHeight="1">
      <c r="A15" s="4" t="s">
        <v>41</v>
      </c>
      <c r="B15" s="23"/>
      <c r="C15" s="23"/>
      <c r="D15" s="23"/>
      <c r="E15" s="16">
        <f>595632+10000+5340+12000+12000</f>
        <v>634972</v>
      </c>
      <c r="F15" s="19">
        <f t="shared" si="8"/>
        <v>68032.71428571432</v>
      </c>
      <c r="G15" s="19">
        <f t="shared" si="9"/>
        <v>0</v>
      </c>
      <c r="H15" s="6">
        <f t="shared" si="10"/>
        <v>52914.333333333336</v>
      </c>
      <c r="I15" s="28"/>
      <c r="J15" s="6">
        <v>0</v>
      </c>
      <c r="K15" s="28">
        <f t="shared" si="11"/>
        <v>915</v>
      </c>
      <c r="L15" s="19">
        <f t="shared" si="12"/>
        <v>0</v>
      </c>
      <c r="M15" s="25">
        <f t="shared" si="13"/>
        <v>362.4269406392694</v>
      </c>
      <c r="N15" s="25">
        <f t="shared" si="14"/>
        <v>598.0044520547945</v>
      </c>
      <c r="O15" s="25">
        <f t="shared" si="7"/>
        <v>267.6010256410256</v>
      </c>
      <c r="P15" s="25"/>
      <c r="Q15" s="30"/>
      <c r="R15" s="30"/>
      <c r="S15" s="30"/>
    </row>
    <row r="16" spans="1:19" ht="10.5" customHeight="1">
      <c r="A16" s="4" t="s">
        <v>42</v>
      </c>
      <c r="B16" s="23"/>
      <c r="C16" s="30"/>
      <c r="D16" s="26"/>
      <c r="E16" s="16">
        <f>608555+10000+5340+12000+12000</f>
        <v>647895</v>
      </c>
      <c r="F16" s="19">
        <f t="shared" si="8"/>
        <v>69417.32142857148</v>
      </c>
      <c r="G16" s="19">
        <f t="shared" si="9"/>
        <v>0</v>
      </c>
      <c r="H16" s="6">
        <f t="shared" si="10"/>
        <v>53991.25</v>
      </c>
      <c r="I16" s="28"/>
      <c r="J16" s="6">
        <v>0</v>
      </c>
      <c r="K16" s="28">
        <f t="shared" si="11"/>
        <v>915</v>
      </c>
      <c r="L16" s="19">
        <f t="shared" si="12"/>
        <v>0</v>
      </c>
      <c r="M16" s="25">
        <f t="shared" si="13"/>
        <v>369.80308219178085</v>
      </c>
      <c r="N16" s="25">
        <f t="shared" si="14"/>
        <v>610.1750856164383</v>
      </c>
      <c r="O16" s="25">
        <f t="shared" si="7"/>
        <v>274.2282051282051</v>
      </c>
      <c r="P16" s="25"/>
      <c r="Q16" s="30"/>
      <c r="R16" s="30"/>
      <c r="S16" s="30"/>
    </row>
    <row r="17" spans="1:19" ht="10.5" customHeight="1">
      <c r="A17" s="4" t="s">
        <v>43</v>
      </c>
      <c r="B17" s="23"/>
      <c r="C17" s="30"/>
      <c r="D17" s="26"/>
      <c r="E17" s="16">
        <f>625002+10000+5340+12000+12000</f>
        <v>664342</v>
      </c>
      <c r="F17" s="19">
        <f t="shared" si="8"/>
        <v>71179.5</v>
      </c>
      <c r="G17" s="19">
        <f t="shared" si="9"/>
        <v>0</v>
      </c>
      <c r="H17" s="6">
        <f t="shared" si="10"/>
        <v>55361.833333333336</v>
      </c>
      <c r="I17" s="28"/>
      <c r="J17" s="6">
        <v>0</v>
      </c>
      <c r="K17" s="28">
        <f t="shared" si="11"/>
        <v>915</v>
      </c>
      <c r="L17" s="19">
        <f t="shared" si="12"/>
        <v>0</v>
      </c>
      <c r="M17" s="25">
        <f t="shared" si="13"/>
        <v>379.1906392694064</v>
      </c>
      <c r="N17" s="25">
        <f t="shared" si="14"/>
        <v>625.6645547945205</v>
      </c>
      <c r="O17" s="25">
        <f t="shared" si="7"/>
        <v>282.6625641025641</v>
      </c>
      <c r="P17" s="25"/>
      <c r="Q17" s="30"/>
      <c r="R17" s="30"/>
      <c r="S17" s="30"/>
    </row>
    <row r="18" spans="1:19" ht="10.5" customHeight="1">
      <c r="A18" s="4" t="s">
        <v>44</v>
      </c>
      <c r="B18" s="23"/>
      <c r="C18" s="30"/>
      <c r="D18" s="26"/>
      <c r="E18" s="16">
        <f>640849+10000+5340+12000+12000</f>
        <v>680189</v>
      </c>
      <c r="F18" s="19">
        <f t="shared" si="8"/>
        <v>72877.39285714296</v>
      </c>
      <c r="G18" s="19">
        <f t="shared" si="9"/>
        <v>0</v>
      </c>
      <c r="H18" s="6">
        <f t="shared" si="10"/>
        <v>56682.416666666664</v>
      </c>
      <c r="I18" s="28"/>
      <c r="J18" s="6">
        <v>0</v>
      </c>
      <c r="K18" s="28">
        <f t="shared" si="11"/>
        <v>915</v>
      </c>
      <c r="L18" s="19">
        <f t="shared" si="12"/>
        <v>0</v>
      </c>
      <c r="M18" s="25">
        <f t="shared" si="13"/>
        <v>388.2357305936073</v>
      </c>
      <c r="N18" s="25">
        <f t="shared" si="14"/>
        <v>640.588955479452</v>
      </c>
      <c r="O18" s="25">
        <f t="shared" si="7"/>
        <v>290.78923076923076</v>
      </c>
      <c r="P18" s="25"/>
      <c r="Q18" s="30"/>
      <c r="R18" s="30"/>
      <c r="S18" s="30"/>
    </row>
    <row r="19" spans="1:19" ht="10.5" customHeight="1">
      <c r="A19" s="4" t="s">
        <v>45</v>
      </c>
      <c r="B19" s="23"/>
      <c r="C19" s="30"/>
      <c r="D19" s="26"/>
      <c r="E19" s="16">
        <f>656696+10000+5340+12000+12000</f>
        <v>696036</v>
      </c>
      <c r="F19" s="19">
        <f t="shared" si="8"/>
        <v>74575.2857142858</v>
      </c>
      <c r="G19" s="19">
        <f t="shared" si="9"/>
        <v>0</v>
      </c>
      <c r="H19" s="6">
        <f t="shared" si="10"/>
        <v>58003</v>
      </c>
      <c r="I19" s="28"/>
      <c r="J19" s="6">
        <v>0</v>
      </c>
      <c r="K19" s="28">
        <f t="shared" si="11"/>
        <v>915</v>
      </c>
      <c r="L19" s="19"/>
      <c r="M19" s="25">
        <f t="shared" si="13"/>
        <v>397.2808219178082</v>
      </c>
      <c r="N19" s="25">
        <f t="shared" si="14"/>
        <v>655.5133561643835</v>
      </c>
      <c r="O19" s="25">
        <f t="shared" si="7"/>
        <v>298.9158974358974</v>
      </c>
      <c r="P19" s="25"/>
      <c r="Q19" s="30"/>
      <c r="R19" s="30"/>
      <c r="S19" s="30"/>
    </row>
    <row r="20" spans="1:19" ht="10.5" customHeight="1">
      <c r="A20" s="4" t="s">
        <v>46</v>
      </c>
      <c r="B20" s="23"/>
      <c r="C20" s="30"/>
      <c r="D20" s="26"/>
      <c r="E20" s="16">
        <f>669196+10000+6340+12000+12000</f>
        <v>709536</v>
      </c>
      <c r="F20" s="19">
        <f t="shared" si="8"/>
        <v>76021.71428571432</v>
      </c>
      <c r="G20" s="19">
        <f>J20*132</f>
        <v>0</v>
      </c>
      <c r="H20" s="6">
        <f t="shared" si="10"/>
        <v>59128</v>
      </c>
      <c r="I20" s="28"/>
      <c r="J20" s="6">
        <v>0</v>
      </c>
      <c r="K20" s="28">
        <f t="shared" si="11"/>
        <v>915</v>
      </c>
      <c r="L20" s="19"/>
      <c r="M20" s="25">
        <f t="shared" si="13"/>
        <v>404.986301369863</v>
      </c>
      <c r="N20" s="25">
        <f t="shared" si="14"/>
        <v>668.2273972602738</v>
      </c>
      <c r="O20" s="25">
        <f t="shared" si="7"/>
        <v>305.8389743589744</v>
      </c>
      <c r="P20" s="25"/>
      <c r="Q20" s="30"/>
      <c r="R20" s="30"/>
      <c r="S20" s="30"/>
    </row>
  </sheetData>
  <sheetProtection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12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:IV16384"/>
    </sheetView>
  </sheetViews>
  <sheetFormatPr defaultColWidth="10.421875" defaultRowHeight="12" customHeight="1"/>
  <cols>
    <col min="1" max="1" width="8.7109375" style="10" customWidth="1"/>
    <col min="2" max="2" width="19.8515625" style="29" customWidth="1"/>
    <col min="3" max="3" width="14.421875" style="29" customWidth="1"/>
    <col min="4" max="4" width="8.00390625" style="29" customWidth="1"/>
    <col min="5" max="5" width="8.7109375" style="31" bestFit="1" customWidth="1"/>
    <col min="6" max="6" width="6.57421875" style="32" bestFit="1" customWidth="1"/>
    <col min="7" max="7" width="6.57421875" style="32" customWidth="1"/>
    <col min="8" max="8" width="7.7109375" style="33" bestFit="1" customWidth="1"/>
    <col min="9" max="9" width="0.85546875" style="34" customWidth="1"/>
    <col min="10" max="10" width="5.421875" style="33" customWidth="1"/>
    <col min="11" max="11" width="10.421875" style="35" hidden="1" customWidth="1"/>
    <col min="12" max="12" width="10.421875" style="26" hidden="1" customWidth="1"/>
    <col min="13" max="13" width="9.8515625" style="36" customWidth="1"/>
    <col min="14" max="14" width="7.7109375" style="36" customWidth="1"/>
    <col min="15" max="15" width="8.421875" style="36" customWidth="1"/>
    <col min="16" max="16384" width="10.421875" style="26" customWidth="1"/>
  </cols>
  <sheetData>
    <row r="1" spans="1:15" s="10" customFormat="1" ht="12" customHeight="1">
      <c r="A1" s="1" t="s">
        <v>54</v>
      </c>
      <c r="B1" s="2"/>
      <c r="C1" s="2"/>
      <c r="D1" s="2"/>
      <c r="E1" s="3"/>
      <c r="F1" s="4"/>
      <c r="G1" s="4"/>
      <c r="H1" s="5"/>
      <c r="I1" s="6"/>
      <c r="J1" s="7"/>
      <c r="K1" s="4"/>
      <c r="L1" s="8" t="s">
        <v>0</v>
      </c>
      <c r="M1" s="4"/>
      <c r="N1" s="9"/>
      <c r="O1" s="4"/>
    </row>
    <row r="2" spans="1:15" s="10" customFormat="1" ht="56.25">
      <c r="A2" s="11" t="s">
        <v>4</v>
      </c>
      <c r="B2" s="12" t="s">
        <v>17</v>
      </c>
      <c r="C2" s="12" t="s">
        <v>5</v>
      </c>
      <c r="D2" s="12" t="s">
        <v>18</v>
      </c>
      <c r="E2" s="13" t="s">
        <v>6</v>
      </c>
      <c r="F2" s="14" t="s">
        <v>7</v>
      </c>
      <c r="G2" s="14" t="s">
        <v>8</v>
      </c>
      <c r="H2" s="15" t="s">
        <v>31</v>
      </c>
      <c r="I2" s="16"/>
      <c r="J2" s="14" t="s">
        <v>19</v>
      </c>
      <c r="K2" s="14"/>
      <c r="L2" s="8"/>
      <c r="M2" s="17" t="s">
        <v>9</v>
      </c>
      <c r="N2" s="18" t="s">
        <v>10</v>
      </c>
      <c r="O2" s="17" t="s">
        <v>11</v>
      </c>
    </row>
    <row r="3" spans="1:15" s="10" customFormat="1" ht="10.5" customHeight="1">
      <c r="A3" s="11"/>
      <c r="B3" s="12"/>
      <c r="C3" s="12"/>
      <c r="D3" s="12"/>
      <c r="E3" s="15"/>
      <c r="F3" s="19"/>
      <c r="G3" s="19"/>
      <c r="H3" s="20"/>
      <c r="I3" s="16"/>
      <c r="J3" s="20"/>
      <c r="K3" s="14"/>
      <c r="L3" s="8"/>
      <c r="M3" s="21"/>
      <c r="N3" s="22"/>
      <c r="O3" s="21"/>
    </row>
    <row r="4" spans="1:15" ht="10.5" customHeight="1">
      <c r="A4" s="4" t="s">
        <v>12</v>
      </c>
      <c r="B4" s="23" t="s">
        <v>23</v>
      </c>
      <c r="C4" s="23" t="s">
        <v>20</v>
      </c>
      <c r="D4" s="23" t="s">
        <v>22</v>
      </c>
      <c r="E4" s="16">
        <f>573900+5160</f>
        <v>579060</v>
      </c>
      <c r="F4" s="19">
        <f aca="true" t="shared" si="0" ref="F4:F10">E4-(E4/1.12)</f>
        <v>62042.1428571429</v>
      </c>
      <c r="G4" s="19">
        <f aca="true" t="shared" si="1" ref="G4:G10">J4*132</f>
        <v>0</v>
      </c>
      <c r="H4" s="6">
        <f aca="true" t="shared" si="2" ref="H4:H10">E4/12</f>
        <v>48255</v>
      </c>
      <c r="I4" s="6"/>
      <c r="J4" s="6">
        <v>0</v>
      </c>
      <c r="K4" s="19">
        <f aca="true" t="shared" si="3" ref="K4:K10">J4*146</f>
        <v>0</v>
      </c>
      <c r="L4" s="24">
        <f aca="true" t="shared" si="4" ref="L4:L10">(E4-K4)/12</f>
        <v>48255</v>
      </c>
      <c r="M4" s="25">
        <f aca="true" t="shared" si="5" ref="M4:M10">E4/1752</f>
        <v>330.513698630137</v>
      </c>
      <c r="N4" s="25">
        <f aca="true" t="shared" si="6" ref="N4:N10">M4*1.65</f>
        <v>545.3476027397261</v>
      </c>
      <c r="O4" s="25">
        <f>(E4-(783*146))/1950</f>
        <v>238.32923076923078</v>
      </c>
    </row>
    <row r="5" spans="1:15" ht="10.5" customHeight="1">
      <c r="A5" s="4" t="s">
        <v>13</v>
      </c>
      <c r="B5" s="23"/>
      <c r="C5" s="23" t="s">
        <v>21</v>
      </c>
      <c r="D5" s="23"/>
      <c r="E5" s="16">
        <f>586417+5160</f>
        <v>591577</v>
      </c>
      <c r="F5" s="19">
        <f t="shared" si="0"/>
        <v>63383.25</v>
      </c>
      <c r="G5" s="19">
        <f t="shared" si="1"/>
        <v>0</v>
      </c>
      <c r="H5" s="6">
        <f t="shared" si="2"/>
        <v>49298.083333333336</v>
      </c>
      <c r="I5" s="6"/>
      <c r="J5" s="6">
        <v>0</v>
      </c>
      <c r="K5" s="19">
        <f t="shared" si="3"/>
        <v>0</v>
      </c>
      <c r="L5" s="24">
        <f t="shared" si="4"/>
        <v>49298.083333333336</v>
      </c>
      <c r="M5" s="25">
        <f t="shared" si="5"/>
        <v>337.658105022831</v>
      </c>
      <c r="N5" s="25">
        <f t="shared" si="6"/>
        <v>557.1358732876712</v>
      </c>
      <c r="O5" s="25">
        <f aca="true" t="shared" si="7" ref="O5:O20">(E5-(783*146))/1950</f>
        <v>244.74820512820511</v>
      </c>
    </row>
    <row r="6" spans="1:15" ht="10.5" customHeight="1">
      <c r="A6" s="4" t="s">
        <v>3</v>
      </c>
      <c r="B6" s="23" t="s">
        <v>25</v>
      </c>
      <c r="C6" s="23" t="s">
        <v>28</v>
      </c>
      <c r="D6" s="23" t="s">
        <v>27</v>
      </c>
      <c r="E6" s="16">
        <f>598933+5160</f>
        <v>604093</v>
      </c>
      <c r="F6" s="19">
        <f t="shared" si="0"/>
        <v>64724.25</v>
      </c>
      <c r="G6" s="19">
        <f t="shared" si="1"/>
        <v>0</v>
      </c>
      <c r="H6" s="6">
        <f t="shared" si="2"/>
        <v>50341.083333333336</v>
      </c>
      <c r="I6" s="6"/>
      <c r="J6" s="6">
        <v>0</v>
      </c>
      <c r="K6" s="19">
        <f t="shared" si="3"/>
        <v>0</v>
      </c>
      <c r="L6" s="24">
        <f t="shared" si="4"/>
        <v>50341.083333333336</v>
      </c>
      <c r="M6" s="25">
        <f t="shared" si="5"/>
        <v>344.8019406392694</v>
      </c>
      <c r="N6" s="25">
        <f t="shared" si="6"/>
        <v>568.9232020547945</v>
      </c>
      <c r="O6" s="25">
        <f t="shared" si="7"/>
        <v>251.16666666666666</v>
      </c>
    </row>
    <row r="7" spans="1:15" ht="10.5" customHeight="1">
      <c r="A7" s="4" t="s">
        <v>14</v>
      </c>
      <c r="B7" s="23" t="s">
        <v>26</v>
      </c>
      <c r="C7" s="23" t="s">
        <v>24</v>
      </c>
      <c r="D7" s="23"/>
      <c r="E7" s="16">
        <f>611448+5160</f>
        <v>616608</v>
      </c>
      <c r="F7" s="19">
        <f t="shared" si="0"/>
        <v>66065.14285714296</v>
      </c>
      <c r="G7" s="19">
        <f t="shared" si="1"/>
        <v>0</v>
      </c>
      <c r="H7" s="6">
        <f t="shared" si="2"/>
        <v>51384</v>
      </c>
      <c r="I7" s="6"/>
      <c r="J7" s="6">
        <v>0</v>
      </c>
      <c r="K7" s="19">
        <f t="shared" si="3"/>
        <v>0</v>
      </c>
      <c r="L7" s="24">
        <f t="shared" si="4"/>
        <v>51384</v>
      </c>
      <c r="M7" s="25">
        <f t="shared" si="5"/>
        <v>351.94520547945206</v>
      </c>
      <c r="N7" s="25">
        <f t="shared" si="6"/>
        <v>580.7095890410959</v>
      </c>
      <c r="O7" s="25">
        <f t="shared" si="7"/>
        <v>257.5846153846154</v>
      </c>
    </row>
    <row r="8" spans="1:15" ht="10.5" customHeight="1">
      <c r="A8" s="4" t="s">
        <v>15</v>
      </c>
      <c r="B8" s="23" t="s">
        <v>29</v>
      </c>
      <c r="C8" s="23"/>
      <c r="D8" s="23"/>
      <c r="E8" s="16">
        <f>623965+5160</f>
        <v>629125</v>
      </c>
      <c r="F8" s="19">
        <f t="shared" si="0"/>
        <v>67406.25</v>
      </c>
      <c r="G8" s="19">
        <f t="shared" si="1"/>
        <v>0</v>
      </c>
      <c r="H8" s="6">
        <f t="shared" si="2"/>
        <v>52427.083333333336</v>
      </c>
      <c r="I8" s="6"/>
      <c r="J8" s="6">
        <v>0</v>
      </c>
      <c r="K8" s="19">
        <f t="shared" si="3"/>
        <v>0</v>
      </c>
      <c r="L8" s="24">
        <f t="shared" si="4"/>
        <v>52427.083333333336</v>
      </c>
      <c r="M8" s="25">
        <f t="shared" si="5"/>
        <v>359.0896118721461</v>
      </c>
      <c r="N8" s="25">
        <f t="shared" si="6"/>
        <v>592.497859589041</v>
      </c>
      <c r="O8" s="25">
        <f t="shared" si="7"/>
        <v>264.00358974358977</v>
      </c>
    </row>
    <row r="9" spans="1:15" ht="10.5" customHeight="1">
      <c r="A9" s="4" t="s">
        <v>16</v>
      </c>
      <c r="B9" s="23"/>
      <c r="C9" s="23"/>
      <c r="D9" s="23"/>
      <c r="E9" s="16">
        <f>640371+5160</f>
        <v>645531</v>
      </c>
      <c r="F9" s="19">
        <f t="shared" si="0"/>
        <v>69164.0357142858</v>
      </c>
      <c r="G9" s="19">
        <f t="shared" si="1"/>
        <v>0</v>
      </c>
      <c r="H9" s="6">
        <f t="shared" si="2"/>
        <v>53794.25</v>
      </c>
      <c r="I9" s="6"/>
      <c r="J9" s="6">
        <v>0</v>
      </c>
      <c r="K9" s="19">
        <f t="shared" si="3"/>
        <v>0</v>
      </c>
      <c r="L9" s="24">
        <f t="shared" si="4"/>
        <v>53794.25</v>
      </c>
      <c r="M9" s="25">
        <f t="shared" si="5"/>
        <v>368.45376712328766</v>
      </c>
      <c r="N9" s="25">
        <f t="shared" si="6"/>
        <v>607.9487157534246</v>
      </c>
      <c r="O9" s="25">
        <f t="shared" si="7"/>
        <v>272.41692307692307</v>
      </c>
    </row>
    <row r="10" spans="1:15" ht="10.5" customHeight="1">
      <c r="A10" s="4" t="s">
        <v>30</v>
      </c>
      <c r="B10" s="23"/>
      <c r="C10" s="23"/>
      <c r="D10" s="23"/>
      <c r="E10" s="16">
        <f>656219+5160</f>
        <v>661379</v>
      </c>
      <c r="F10" s="19">
        <f t="shared" si="0"/>
        <v>70862.0357142858</v>
      </c>
      <c r="G10" s="19">
        <f t="shared" si="1"/>
        <v>0</v>
      </c>
      <c r="H10" s="6">
        <f t="shared" si="2"/>
        <v>55114.916666666664</v>
      </c>
      <c r="I10" s="6"/>
      <c r="J10" s="6">
        <v>0</v>
      </c>
      <c r="K10" s="19">
        <f t="shared" si="3"/>
        <v>0</v>
      </c>
      <c r="L10" s="24">
        <f t="shared" si="4"/>
        <v>55114.916666666664</v>
      </c>
      <c r="M10" s="25">
        <f t="shared" si="5"/>
        <v>377.4994292237443</v>
      </c>
      <c r="N10" s="25">
        <f t="shared" si="6"/>
        <v>622.8740582191781</v>
      </c>
      <c r="O10" s="25">
        <f t="shared" si="7"/>
        <v>280.54410256410256</v>
      </c>
    </row>
    <row r="11" spans="1:15" ht="10.5" customHeight="1">
      <c r="A11" s="4" t="s">
        <v>35</v>
      </c>
      <c r="B11" s="23"/>
      <c r="C11" s="23"/>
      <c r="D11" s="23"/>
      <c r="E11" s="16">
        <f>669719+5160</f>
        <v>674879</v>
      </c>
      <c r="F11" s="19">
        <f>E11-(E11/1.12)</f>
        <v>72308.46428571432</v>
      </c>
      <c r="G11" s="19">
        <f>J11*132</f>
        <v>0</v>
      </c>
      <c r="H11" s="6">
        <f>E11/12</f>
        <v>56239.916666666664</v>
      </c>
      <c r="I11" s="6"/>
      <c r="J11" s="6">
        <v>0</v>
      </c>
      <c r="K11" s="19">
        <f>J11*146</f>
        <v>0</v>
      </c>
      <c r="L11" s="24">
        <f>(E11-K11)/12</f>
        <v>56239.916666666664</v>
      </c>
      <c r="M11" s="25">
        <f>E11/1752</f>
        <v>385.20490867579906</v>
      </c>
      <c r="N11" s="25">
        <f>M11*1.65</f>
        <v>635.5880993150685</v>
      </c>
      <c r="O11" s="25">
        <f t="shared" si="7"/>
        <v>287.46717948717946</v>
      </c>
    </row>
    <row r="12" spans="1:15" ht="10.5" customHeight="1">
      <c r="A12" s="4"/>
      <c r="B12" s="23"/>
      <c r="C12" s="23"/>
      <c r="D12" s="23"/>
      <c r="E12" s="20"/>
      <c r="F12" s="16"/>
      <c r="G12" s="16"/>
      <c r="H12" s="27"/>
      <c r="I12" s="28"/>
      <c r="J12" s="6"/>
      <c r="K12" s="19"/>
      <c r="L12" s="24"/>
      <c r="M12" s="25"/>
      <c r="N12" s="25"/>
      <c r="O12" s="25"/>
    </row>
    <row r="13" spans="1:19" ht="10.5" customHeight="1">
      <c r="A13" s="4" t="s">
        <v>39</v>
      </c>
      <c r="B13" s="38" t="s">
        <v>37</v>
      </c>
      <c r="C13" s="23" t="s">
        <v>20</v>
      </c>
      <c r="D13" s="23" t="s">
        <v>48</v>
      </c>
      <c r="E13" s="16">
        <f>609127+5160</f>
        <v>614287</v>
      </c>
      <c r="F13" s="19">
        <f aca="true" t="shared" si="8" ref="F13:F20">E13-(E13/1.12)</f>
        <v>65816.46428571432</v>
      </c>
      <c r="G13" s="19">
        <f aca="true" t="shared" si="9" ref="G13:G19">J13*132</f>
        <v>0</v>
      </c>
      <c r="H13" s="6">
        <f aca="true" t="shared" si="10" ref="H13:H20">E13/12</f>
        <v>51190.583333333336</v>
      </c>
      <c r="I13" s="28"/>
      <c r="J13" s="6">
        <v>0</v>
      </c>
      <c r="K13" s="28">
        <f aca="true" t="shared" si="11" ref="K13:K20">892+14+9</f>
        <v>915</v>
      </c>
      <c r="L13" s="19">
        <f aca="true" t="shared" si="12" ref="L13:L18">J13*146</f>
        <v>0</v>
      </c>
      <c r="M13" s="25">
        <f aca="true" t="shared" si="13" ref="M13:M20">E13/1752</f>
        <v>350.62043378995435</v>
      </c>
      <c r="N13" s="25">
        <f aca="true" t="shared" si="14" ref="N13:N20">M13*1.65</f>
        <v>578.5237157534247</v>
      </c>
      <c r="O13" s="25">
        <f t="shared" si="7"/>
        <v>256.39435897435897</v>
      </c>
      <c r="P13" s="25"/>
      <c r="Q13" s="30"/>
      <c r="R13" s="30"/>
      <c r="S13" s="30"/>
    </row>
    <row r="14" spans="1:19" ht="10.5" customHeight="1">
      <c r="A14" s="4" t="s">
        <v>40</v>
      </c>
      <c r="B14" s="23"/>
      <c r="C14" s="23" t="s">
        <v>47</v>
      </c>
      <c r="D14" s="23"/>
      <c r="E14" s="16">
        <f>622050+5160</f>
        <v>627210</v>
      </c>
      <c r="F14" s="19">
        <f t="shared" si="8"/>
        <v>67201.07142857148</v>
      </c>
      <c r="G14" s="19">
        <f t="shared" si="9"/>
        <v>0</v>
      </c>
      <c r="H14" s="6">
        <f t="shared" si="10"/>
        <v>52267.5</v>
      </c>
      <c r="I14" s="28"/>
      <c r="J14" s="6">
        <v>0</v>
      </c>
      <c r="K14" s="28">
        <f t="shared" si="11"/>
        <v>915</v>
      </c>
      <c r="L14" s="19">
        <f t="shared" si="12"/>
        <v>0</v>
      </c>
      <c r="M14" s="25">
        <f t="shared" si="13"/>
        <v>357.99657534246575</v>
      </c>
      <c r="N14" s="25">
        <f t="shared" si="14"/>
        <v>590.6943493150684</v>
      </c>
      <c r="O14" s="25">
        <f t="shared" si="7"/>
        <v>263.02153846153846</v>
      </c>
      <c r="P14" s="25"/>
      <c r="Q14" s="30"/>
      <c r="R14" s="30"/>
      <c r="S14" s="30"/>
    </row>
    <row r="15" spans="1:19" ht="10.5" customHeight="1">
      <c r="A15" s="4" t="s">
        <v>41</v>
      </c>
      <c r="B15" s="23"/>
      <c r="C15" s="23"/>
      <c r="D15" s="23"/>
      <c r="E15" s="16">
        <f>634972+5160</f>
        <v>640132</v>
      </c>
      <c r="F15" s="19">
        <f t="shared" si="8"/>
        <v>68585.57142857148</v>
      </c>
      <c r="G15" s="19">
        <f t="shared" si="9"/>
        <v>0</v>
      </c>
      <c r="H15" s="6">
        <f t="shared" si="10"/>
        <v>53344.333333333336</v>
      </c>
      <c r="I15" s="28"/>
      <c r="J15" s="6">
        <v>0</v>
      </c>
      <c r="K15" s="28">
        <f t="shared" si="11"/>
        <v>915</v>
      </c>
      <c r="L15" s="19">
        <f t="shared" si="12"/>
        <v>0</v>
      </c>
      <c r="M15" s="25">
        <f t="shared" si="13"/>
        <v>365.37214611872145</v>
      </c>
      <c r="N15" s="25">
        <f t="shared" si="14"/>
        <v>602.8640410958903</v>
      </c>
      <c r="O15" s="25">
        <f t="shared" si="7"/>
        <v>269.6482051282051</v>
      </c>
      <c r="P15" s="25"/>
      <c r="Q15" s="30"/>
      <c r="R15" s="30"/>
      <c r="S15" s="30"/>
    </row>
    <row r="16" spans="1:19" ht="10.5" customHeight="1">
      <c r="A16" s="4" t="s">
        <v>42</v>
      </c>
      <c r="B16" s="23"/>
      <c r="C16" s="30"/>
      <c r="D16" s="26"/>
      <c r="E16" s="16">
        <f>647895+5160</f>
        <v>653055</v>
      </c>
      <c r="F16" s="19">
        <f t="shared" si="8"/>
        <v>69970.17857142864</v>
      </c>
      <c r="G16" s="19">
        <f t="shared" si="9"/>
        <v>0</v>
      </c>
      <c r="H16" s="6">
        <f t="shared" si="10"/>
        <v>54421.25</v>
      </c>
      <c r="I16" s="28"/>
      <c r="J16" s="6">
        <v>0</v>
      </c>
      <c r="K16" s="28">
        <f t="shared" si="11"/>
        <v>915</v>
      </c>
      <c r="L16" s="19">
        <f t="shared" si="12"/>
        <v>0</v>
      </c>
      <c r="M16" s="25">
        <f t="shared" si="13"/>
        <v>372.7482876712329</v>
      </c>
      <c r="N16" s="25">
        <f t="shared" si="14"/>
        <v>615.0346746575343</v>
      </c>
      <c r="O16" s="25">
        <f t="shared" si="7"/>
        <v>276.2753846153846</v>
      </c>
      <c r="P16" s="25"/>
      <c r="Q16" s="30"/>
      <c r="R16" s="30"/>
      <c r="S16" s="30"/>
    </row>
    <row r="17" spans="1:19" ht="10.5" customHeight="1">
      <c r="A17" s="4" t="s">
        <v>43</v>
      </c>
      <c r="B17" s="23"/>
      <c r="C17" s="30"/>
      <c r="D17" s="26"/>
      <c r="E17" s="16">
        <f>664342+5160</f>
        <v>669502</v>
      </c>
      <c r="F17" s="19">
        <f t="shared" si="8"/>
        <v>71732.35714285716</v>
      </c>
      <c r="G17" s="19">
        <f t="shared" si="9"/>
        <v>0</v>
      </c>
      <c r="H17" s="6">
        <f t="shared" si="10"/>
        <v>55791.833333333336</v>
      </c>
      <c r="I17" s="28"/>
      <c r="J17" s="6">
        <v>0</v>
      </c>
      <c r="K17" s="28">
        <f t="shared" si="11"/>
        <v>915</v>
      </c>
      <c r="L17" s="19">
        <f t="shared" si="12"/>
        <v>0</v>
      </c>
      <c r="M17" s="25">
        <f t="shared" si="13"/>
        <v>382.13584474885846</v>
      </c>
      <c r="N17" s="25">
        <f t="shared" si="14"/>
        <v>630.5241438356164</v>
      </c>
      <c r="O17" s="25">
        <f t="shared" si="7"/>
        <v>284.7097435897436</v>
      </c>
      <c r="P17" s="25"/>
      <c r="Q17" s="30"/>
      <c r="R17" s="30"/>
      <c r="S17" s="30"/>
    </row>
    <row r="18" spans="1:19" ht="10.5" customHeight="1">
      <c r="A18" s="4" t="s">
        <v>44</v>
      </c>
      <c r="B18" s="23"/>
      <c r="C18" s="30"/>
      <c r="D18" s="26"/>
      <c r="E18" s="16">
        <f>680189+5160</f>
        <v>685349</v>
      </c>
      <c r="F18" s="19">
        <f t="shared" si="8"/>
        <v>73430.25000000012</v>
      </c>
      <c r="G18" s="19">
        <f t="shared" si="9"/>
        <v>0</v>
      </c>
      <c r="H18" s="6">
        <f t="shared" si="10"/>
        <v>57112.416666666664</v>
      </c>
      <c r="I18" s="28"/>
      <c r="J18" s="6">
        <v>0</v>
      </c>
      <c r="K18" s="28">
        <f t="shared" si="11"/>
        <v>915</v>
      </c>
      <c r="L18" s="19">
        <f t="shared" si="12"/>
        <v>0</v>
      </c>
      <c r="M18" s="25">
        <f t="shared" si="13"/>
        <v>391.18093607305934</v>
      </c>
      <c r="N18" s="25">
        <f t="shared" si="14"/>
        <v>645.4485445205479</v>
      </c>
      <c r="O18" s="25">
        <f t="shared" si="7"/>
        <v>292.83641025641026</v>
      </c>
      <c r="P18" s="25"/>
      <c r="Q18" s="30"/>
      <c r="R18" s="30"/>
      <c r="S18" s="30"/>
    </row>
    <row r="19" spans="1:19" ht="10.5" customHeight="1">
      <c r="A19" s="4" t="s">
        <v>45</v>
      </c>
      <c r="B19" s="23"/>
      <c r="C19" s="30"/>
      <c r="D19" s="26"/>
      <c r="E19" s="16">
        <f>696036+5160</f>
        <v>701196</v>
      </c>
      <c r="F19" s="19">
        <f t="shared" si="8"/>
        <v>75128.14285714296</v>
      </c>
      <c r="G19" s="19">
        <f t="shared" si="9"/>
        <v>0</v>
      </c>
      <c r="H19" s="6">
        <f t="shared" si="10"/>
        <v>58433</v>
      </c>
      <c r="I19" s="28"/>
      <c r="J19" s="6">
        <v>0</v>
      </c>
      <c r="K19" s="28">
        <f t="shared" si="11"/>
        <v>915</v>
      </c>
      <c r="L19" s="19"/>
      <c r="M19" s="25">
        <f t="shared" si="13"/>
        <v>400.2260273972603</v>
      </c>
      <c r="N19" s="25">
        <f t="shared" si="14"/>
        <v>660.3729452054795</v>
      </c>
      <c r="O19" s="25">
        <f t="shared" si="7"/>
        <v>300.9630769230769</v>
      </c>
      <c r="P19" s="25"/>
      <c r="Q19" s="30"/>
      <c r="R19" s="30"/>
      <c r="S19" s="30"/>
    </row>
    <row r="20" spans="1:19" ht="10.5" customHeight="1">
      <c r="A20" s="4" t="s">
        <v>46</v>
      </c>
      <c r="B20" s="23"/>
      <c r="C20" s="30"/>
      <c r="D20" s="26"/>
      <c r="E20" s="16">
        <f>709536+5160</f>
        <v>714696</v>
      </c>
      <c r="F20" s="19">
        <f t="shared" si="8"/>
        <v>76574.57142857148</v>
      </c>
      <c r="G20" s="19">
        <f>J20*132</f>
        <v>0</v>
      </c>
      <c r="H20" s="6">
        <f t="shared" si="10"/>
        <v>59558</v>
      </c>
      <c r="I20" s="28"/>
      <c r="J20" s="6">
        <v>0</v>
      </c>
      <c r="K20" s="28">
        <f t="shared" si="11"/>
        <v>915</v>
      </c>
      <c r="L20" s="19"/>
      <c r="M20" s="25">
        <f t="shared" si="13"/>
        <v>407.93150684931504</v>
      </c>
      <c r="N20" s="25">
        <f t="shared" si="14"/>
        <v>673.0869863013697</v>
      </c>
      <c r="O20" s="25">
        <f t="shared" si="7"/>
        <v>307.88615384615383</v>
      </c>
      <c r="P20" s="25"/>
      <c r="Q20" s="30"/>
      <c r="R20" s="30"/>
      <c r="S20" s="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 Brown &amp; Root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bbrqa30</dc:creator>
  <cp:keywords/>
  <dc:description/>
  <cp:lastModifiedBy>Gro Espås</cp:lastModifiedBy>
  <cp:lastPrinted>2022-08-09T12:12:41Z</cp:lastPrinted>
  <dcterms:created xsi:type="dcterms:W3CDTF">1999-11-04T08:55:17Z</dcterms:created>
  <dcterms:modified xsi:type="dcterms:W3CDTF">2022-08-09T12:12:49Z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bad6f6f2-a951-4904-b531-92e1207fc7a5_Enabled">
    <vt:lpwstr>true</vt:lpwstr>
  </property>
  <property fmtid="{D5CDD505-2E9C-101B-9397-08002B2CF9AE}" pid="4" name="MSIP_Label_bad6f6f2-a951-4904-b531-92e1207fc7a5_SetDate">
    <vt:lpwstr>2021-06-03T13:30:52Z</vt:lpwstr>
  </property>
  <property fmtid="{D5CDD505-2E9C-101B-9397-08002B2CF9AE}" pid="5" name="MSIP_Label_bad6f6f2-a951-4904-b531-92e1207fc7a5_Method">
    <vt:lpwstr>Standard</vt:lpwstr>
  </property>
  <property fmtid="{D5CDD505-2E9C-101B-9397-08002B2CF9AE}" pid="6" name="MSIP_Label_bad6f6f2-a951-4904-b531-92e1207fc7a5_Name">
    <vt:lpwstr>No Restrictions - Internal</vt:lpwstr>
  </property>
  <property fmtid="{D5CDD505-2E9C-101B-9397-08002B2CF9AE}" pid="7" name="MSIP_Label_bad6f6f2-a951-4904-b531-92e1207fc7a5_SiteId">
    <vt:lpwstr>b7be7686-6f97-4db7-9081-a23cf09a96b5</vt:lpwstr>
  </property>
  <property fmtid="{D5CDD505-2E9C-101B-9397-08002B2CF9AE}" pid="8" name="MSIP_Label_bad6f6f2-a951-4904-b531-92e1207fc7a5_ActionId">
    <vt:lpwstr>319b6658-17cb-40a8-9b8f-02dba8c2344c</vt:lpwstr>
  </property>
  <property fmtid="{D5CDD505-2E9C-101B-9397-08002B2CF9AE}" pid="9" name="MSIP_Label_bad6f6f2-a951-4904-b531-92e1207fc7a5_ContentBits">
    <vt:lpwstr>0</vt:lpwstr>
  </property>
</Properties>
</file>