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5" activeTab="23"/>
  </bookViews>
  <sheets>
    <sheet name="01.04.11" sheetId="1" r:id="rId1"/>
    <sheet name="01.06.11" sheetId="2" r:id="rId2"/>
    <sheet name="01.06.12" sheetId="3" r:id="rId3"/>
    <sheet name="01.01.13" sheetId="4" r:id="rId4"/>
    <sheet name="01.06.13" sheetId="5" r:id="rId5"/>
    <sheet name="01.01.14" sheetId="6" r:id="rId6"/>
    <sheet name="01.06.14" sheetId="7" r:id="rId7"/>
    <sheet name="01.01.15" sheetId="8" r:id="rId8"/>
    <sheet name="01.06.15" sheetId="9" r:id="rId9"/>
    <sheet name="01.01.16" sheetId="10" r:id="rId10"/>
    <sheet name="12.10.16" sheetId="11" r:id="rId11"/>
    <sheet name="01.01.17" sheetId="12" r:id="rId12"/>
    <sheet name="01.06.17" sheetId="13" r:id="rId13"/>
    <sheet name="01.01.18" sheetId="14" r:id="rId14"/>
    <sheet name="01.06.18" sheetId="15" r:id="rId15"/>
    <sheet name="01.01.19" sheetId="16" r:id="rId16"/>
    <sheet name="01.06.19" sheetId="17" r:id="rId17"/>
    <sheet name="01.01.20" sheetId="18" r:id="rId18"/>
    <sheet name="Endring 01.01.20" sheetId="19" r:id="rId19"/>
    <sheet name="01.06.20" sheetId="20" r:id="rId20"/>
    <sheet name="01.01.21" sheetId="21" r:id="rId21"/>
    <sheet name="01.06.21" sheetId="22" r:id="rId22"/>
    <sheet name="01.01.22" sheetId="23" r:id="rId23"/>
    <sheet name="01.06.22" sheetId="24" r:id="rId24"/>
  </sheets>
  <definedNames>
    <definedName name="_xlnm.Print_Area" localSheetId="0">'01.04.11'!$A$1:$Q$18</definedName>
  </definedNames>
  <calcPr fullCalcOnLoad="1"/>
</workbook>
</file>

<file path=xl/comments10.xml><?xml version="1.0" encoding="utf-8"?>
<comments xmlns="http://schemas.openxmlformats.org/spreadsheetml/2006/main">
  <authors>
    <author>Erle P. Halliburton</author>
  </authors>
  <commentList>
    <comment ref="A11" authorId="0">
      <text>
        <r>
          <rPr>
            <b/>
            <sz val="9"/>
            <rFont val="Tahoma"/>
            <family val="2"/>
          </rPr>
          <t>BBRLN15:</t>
        </r>
        <r>
          <rPr>
            <sz val="9"/>
            <rFont val="Tahoma"/>
            <family val="2"/>
          </rPr>
          <t xml:space="preserve">
Iverksettes fra 1.6.2012</t>
        </r>
      </text>
    </comment>
  </commentList>
</comments>
</file>

<file path=xl/comments11.xml><?xml version="1.0" encoding="utf-8"?>
<comments xmlns="http://schemas.openxmlformats.org/spreadsheetml/2006/main">
  <authors>
    <author>Erle P. Halliburton</author>
  </authors>
  <commentList>
    <comment ref="A11" authorId="0">
      <text>
        <r>
          <rPr>
            <b/>
            <sz val="9"/>
            <rFont val="Tahoma"/>
            <family val="2"/>
          </rPr>
          <t>BBRLN15:</t>
        </r>
        <r>
          <rPr>
            <sz val="9"/>
            <rFont val="Tahoma"/>
            <family val="2"/>
          </rPr>
          <t xml:space="preserve">
Iverksettes fra 1.6.2012</t>
        </r>
      </text>
    </comment>
  </commentList>
</comments>
</file>

<file path=xl/comments12.xml><?xml version="1.0" encoding="utf-8"?>
<comments xmlns="http://schemas.openxmlformats.org/spreadsheetml/2006/main">
  <authors>
    <author>Erle P. Halliburton</author>
  </authors>
  <commentList>
    <comment ref="A11" authorId="0">
      <text>
        <r>
          <rPr>
            <b/>
            <sz val="9"/>
            <rFont val="Tahoma"/>
            <family val="2"/>
          </rPr>
          <t>BBRLN15:</t>
        </r>
        <r>
          <rPr>
            <sz val="9"/>
            <rFont val="Tahoma"/>
            <family val="2"/>
          </rPr>
          <t xml:space="preserve">
Iverksettes fra 1.6.2012</t>
        </r>
      </text>
    </comment>
  </commentList>
</comments>
</file>

<file path=xl/comments13.xml><?xml version="1.0" encoding="utf-8"?>
<comments xmlns="http://schemas.openxmlformats.org/spreadsheetml/2006/main">
  <authors>
    <author>Erle P. Halliburton</author>
  </authors>
  <commentList>
    <comment ref="A11" authorId="0">
      <text>
        <r>
          <rPr>
            <b/>
            <sz val="9"/>
            <rFont val="Tahoma"/>
            <family val="2"/>
          </rPr>
          <t>BBRLN15:</t>
        </r>
        <r>
          <rPr>
            <sz val="9"/>
            <rFont val="Tahoma"/>
            <family val="2"/>
          </rPr>
          <t xml:space="preserve">
Iverksettes fra 1.6.2012</t>
        </r>
      </text>
    </comment>
  </commentList>
</comments>
</file>

<file path=xl/comments14.xml><?xml version="1.0" encoding="utf-8"?>
<comments xmlns="http://schemas.openxmlformats.org/spreadsheetml/2006/main">
  <authors>
    <author>Erle P. Halliburton</author>
  </authors>
  <commentList>
    <comment ref="A11" authorId="0">
      <text>
        <r>
          <rPr>
            <b/>
            <sz val="9"/>
            <rFont val="Tahoma"/>
            <family val="2"/>
          </rPr>
          <t>BBRLN15:</t>
        </r>
        <r>
          <rPr>
            <sz val="9"/>
            <rFont val="Tahoma"/>
            <family val="2"/>
          </rPr>
          <t xml:space="preserve">
Iverksettes fra 1.6.2012</t>
        </r>
      </text>
    </comment>
    <comment ref="A12" authorId="0">
      <text>
        <r>
          <rPr>
            <b/>
            <sz val="9"/>
            <rFont val="Tahoma"/>
            <family val="2"/>
          </rPr>
          <t>BBRLN15:</t>
        </r>
        <r>
          <rPr>
            <sz val="9"/>
            <rFont val="Tahoma"/>
            <family val="2"/>
          </rPr>
          <t xml:space="preserve">
Iverksettes fra 1.1.2018</t>
        </r>
      </text>
    </comment>
  </commentList>
</comments>
</file>

<file path=xl/comments15.xml><?xml version="1.0" encoding="utf-8"?>
<comments xmlns="http://schemas.openxmlformats.org/spreadsheetml/2006/main">
  <authors>
    <author>Erle P. Halliburton</author>
  </authors>
  <commentList>
    <comment ref="A11" authorId="0">
      <text>
        <r>
          <rPr>
            <b/>
            <sz val="9"/>
            <rFont val="Tahoma"/>
            <family val="2"/>
          </rPr>
          <t>BBRLN15:</t>
        </r>
        <r>
          <rPr>
            <sz val="9"/>
            <rFont val="Tahoma"/>
            <family val="2"/>
          </rPr>
          <t xml:space="preserve">
Iverksettes fra 1.6.2012</t>
        </r>
      </text>
    </comment>
    <comment ref="A12" authorId="0">
      <text>
        <r>
          <rPr>
            <b/>
            <sz val="9"/>
            <rFont val="Tahoma"/>
            <family val="2"/>
          </rPr>
          <t>BBRLN15:</t>
        </r>
        <r>
          <rPr>
            <sz val="9"/>
            <rFont val="Tahoma"/>
            <family val="2"/>
          </rPr>
          <t xml:space="preserve">
Iverksettes fra 1.1.2018</t>
        </r>
      </text>
    </comment>
  </commentList>
</comments>
</file>

<file path=xl/comments3.xml><?xml version="1.0" encoding="utf-8"?>
<comments xmlns="http://schemas.openxmlformats.org/spreadsheetml/2006/main">
  <authors>
    <author>Erle P. Halliburton</author>
  </authors>
  <commentList>
    <comment ref="A14" authorId="0">
      <text>
        <r>
          <rPr>
            <b/>
            <sz val="9"/>
            <rFont val="Tahoma"/>
            <family val="2"/>
          </rPr>
          <t>BBRLN15:</t>
        </r>
        <r>
          <rPr>
            <sz val="9"/>
            <rFont val="Tahoma"/>
            <family val="2"/>
          </rPr>
          <t xml:space="preserve">
Iverksettes fra 1.6.2012</t>
        </r>
      </text>
    </comment>
  </commentList>
</comments>
</file>

<file path=xl/comments4.xml><?xml version="1.0" encoding="utf-8"?>
<comments xmlns="http://schemas.openxmlformats.org/spreadsheetml/2006/main">
  <authors>
    <author>Erle P. Halliburton</author>
  </authors>
  <commentList>
    <comment ref="A13" authorId="0">
      <text>
        <r>
          <rPr>
            <b/>
            <sz val="9"/>
            <rFont val="Tahoma"/>
            <family val="2"/>
          </rPr>
          <t>BBRLN15:</t>
        </r>
        <r>
          <rPr>
            <sz val="9"/>
            <rFont val="Tahoma"/>
            <family val="2"/>
          </rPr>
          <t xml:space="preserve">
Iverksettes fra 1.6.2012</t>
        </r>
      </text>
    </comment>
  </commentList>
</comments>
</file>

<file path=xl/comments5.xml><?xml version="1.0" encoding="utf-8"?>
<comments xmlns="http://schemas.openxmlformats.org/spreadsheetml/2006/main">
  <authors>
    <author>Erle P. Halliburton</author>
  </authors>
  <commentList>
    <comment ref="A13" authorId="0">
      <text>
        <r>
          <rPr>
            <b/>
            <sz val="9"/>
            <rFont val="Tahoma"/>
            <family val="2"/>
          </rPr>
          <t>BBRLN15:</t>
        </r>
        <r>
          <rPr>
            <sz val="9"/>
            <rFont val="Tahoma"/>
            <family val="2"/>
          </rPr>
          <t xml:space="preserve">
Iverksettes fra 1.6.2012</t>
        </r>
      </text>
    </comment>
  </commentList>
</comments>
</file>

<file path=xl/comments6.xml><?xml version="1.0" encoding="utf-8"?>
<comments xmlns="http://schemas.openxmlformats.org/spreadsheetml/2006/main">
  <authors>
    <author>Erle P. Halliburton</author>
  </authors>
  <commentList>
    <comment ref="A12" authorId="0">
      <text>
        <r>
          <rPr>
            <b/>
            <sz val="9"/>
            <rFont val="Tahoma"/>
            <family val="2"/>
          </rPr>
          <t>BBRLN15:</t>
        </r>
        <r>
          <rPr>
            <sz val="9"/>
            <rFont val="Tahoma"/>
            <family val="2"/>
          </rPr>
          <t xml:space="preserve">
Iverksettes fra 1.6.2012</t>
        </r>
      </text>
    </comment>
  </commentList>
</comments>
</file>

<file path=xl/comments7.xml><?xml version="1.0" encoding="utf-8"?>
<comments xmlns="http://schemas.openxmlformats.org/spreadsheetml/2006/main">
  <authors>
    <author>Erle P. Halliburton</author>
  </authors>
  <commentList>
    <comment ref="A12" authorId="0">
      <text>
        <r>
          <rPr>
            <b/>
            <sz val="9"/>
            <rFont val="Tahoma"/>
            <family val="2"/>
          </rPr>
          <t>BBRLN15:</t>
        </r>
        <r>
          <rPr>
            <sz val="9"/>
            <rFont val="Tahoma"/>
            <family val="2"/>
          </rPr>
          <t xml:space="preserve">
Iverksettes fra 1.6.2012</t>
        </r>
      </text>
    </comment>
  </commentList>
</comments>
</file>

<file path=xl/comments8.xml><?xml version="1.0" encoding="utf-8"?>
<comments xmlns="http://schemas.openxmlformats.org/spreadsheetml/2006/main">
  <authors>
    <author>Erle P. Halliburton</author>
  </authors>
  <commentList>
    <comment ref="A12" authorId="0">
      <text>
        <r>
          <rPr>
            <b/>
            <sz val="9"/>
            <rFont val="Tahoma"/>
            <family val="2"/>
          </rPr>
          <t>BBRLN15:</t>
        </r>
        <r>
          <rPr>
            <sz val="9"/>
            <rFont val="Tahoma"/>
            <family val="2"/>
          </rPr>
          <t xml:space="preserve">
Iverksettes fra 1.6.2012</t>
        </r>
      </text>
    </comment>
  </commentList>
</comments>
</file>

<file path=xl/comments9.xml><?xml version="1.0" encoding="utf-8"?>
<comments xmlns="http://schemas.openxmlformats.org/spreadsheetml/2006/main">
  <authors>
    <author>Erle P. Halliburton</author>
  </authors>
  <commentList>
    <comment ref="A12" authorId="0">
      <text>
        <r>
          <rPr>
            <b/>
            <sz val="9"/>
            <rFont val="Tahoma"/>
            <family val="2"/>
          </rPr>
          <t>BBRLN15:</t>
        </r>
        <r>
          <rPr>
            <sz val="9"/>
            <rFont val="Tahoma"/>
            <family val="2"/>
          </rPr>
          <t xml:space="preserve">
Iverksettes fra 1.6.2012</t>
        </r>
      </text>
    </comment>
  </commentList>
</comments>
</file>

<file path=xl/sharedStrings.xml><?xml version="1.0" encoding="utf-8"?>
<sst xmlns="http://schemas.openxmlformats.org/spreadsheetml/2006/main" count="984" uniqueCount="100">
  <si>
    <t>Månedslønn</t>
  </si>
  <si>
    <t>Dataingeniør</t>
  </si>
  <si>
    <t>Code</t>
  </si>
  <si>
    <t>SAP Classification</t>
  </si>
  <si>
    <t>OSA Class</t>
  </si>
  <si>
    <t>Payband SAP</t>
  </si>
  <si>
    <t>Annual Salary</t>
  </si>
  <si>
    <t>12% feriep</t>
  </si>
  <si>
    <t>Sokkel komp 132d</t>
  </si>
  <si>
    <t>Hourly rate utov.12 timer</t>
  </si>
  <si>
    <t>65% Overtime</t>
  </si>
  <si>
    <t>Hourly rate Onshore</t>
  </si>
  <si>
    <t>B1</t>
  </si>
  <si>
    <t>B2</t>
  </si>
  <si>
    <t>B3</t>
  </si>
  <si>
    <t>B4</t>
  </si>
  <si>
    <t>B5</t>
  </si>
  <si>
    <t>B6</t>
  </si>
  <si>
    <t>B7</t>
  </si>
  <si>
    <t>B8</t>
  </si>
  <si>
    <t xml:space="preserve">Offsh.Bonus </t>
  </si>
  <si>
    <t>VPE</t>
  </si>
  <si>
    <t>OSA grade</t>
  </si>
  <si>
    <t>B9</t>
  </si>
  <si>
    <t>Logging Geologist-SDL, Sr</t>
  </si>
  <si>
    <t>SV07</t>
  </si>
  <si>
    <t>INSITE Spec-SDL, Jr</t>
  </si>
  <si>
    <t>INSITE Spec-SDL, Sr</t>
  </si>
  <si>
    <t>SV05</t>
  </si>
  <si>
    <t>SV06</t>
  </si>
  <si>
    <t>Sr.Loggegeolog</t>
  </si>
  <si>
    <t>Sr.Dataingeniør</t>
  </si>
  <si>
    <t>Monthly Salary Wage Type 1003</t>
  </si>
  <si>
    <r>
      <t xml:space="preserve">SALARY STRUCTURE FOR  - Sperry - Data Engineers 01.04.2011 </t>
    </r>
    <r>
      <rPr>
        <b/>
        <u val="single"/>
        <sz val="8"/>
        <color indexed="10"/>
        <rFont val="Arial"/>
        <family val="2"/>
      </rPr>
      <t>PAY SCALE TYPE: 18 IE_Sperry 2-4 (Dataingeniører)</t>
    </r>
  </si>
  <si>
    <r>
      <t xml:space="preserve">SALARY STRUCTURE FOR  - Sperry - Data Engineers 01.06.2011 </t>
    </r>
    <r>
      <rPr>
        <b/>
        <u val="single"/>
        <sz val="8"/>
        <color indexed="10"/>
        <rFont val="Arial"/>
        <family val="2"/>
      </rPr>
      <t>PAY SCALE TYPE: 18 IE_Sperry 2-4 (Dataingeniører)</t>
    </r>
  </si>
  <si>
    <t>INSITE Spec-SDL</t>
  </si>
  <si>
    <r>
      <t xml:space="preserve">SALARY STRUCTURE FOR  - Sperry - Data Engineers 01.06.2012 </t>
    </r>
    <r>
      <rPr>
        <b/>
        <u val="single"/>
        <sz val="8"/>
        <color indexed="10"/>
        <rFont val="Arial"/>
        <family val="2"/>
      </rPr>
      <t>PAY SCALE TYPE: 18 IE_Sperry 2-4 (Dataingeniører)</t>
    </r>
  </si>
  <si>
    <t>B10</t>
  </si>
  <si>
    <r>
      <t xml:space="preserve">SALARY STRUCTURE FOR  - Sperry - Data Engineers 01.01.2013 </t>
    </r>
    <r>
      <rPr>
        <b/>
        <u val="single"/>
        <sz val="8"/>
        <color indexed="10"/>
        <rFont val="Arial"/>
        <family val="2"/>
      </rPr>
      <t>PAY SCALE TYPE: 18 IE_Sperry 2-4 (Dataingeniører)</t>
    </r>
  </si>
  <si>
    <r>
      <t xml:space="preserve">SALARY STRUCTURE FOR  - Sperry - Data Engineers 01.06.2013 </t>
    </r>
    <r>
      <rPr>
        <b/>
        <u val="single"/>
        <sz val="8"/>
        <color indexed="10"/>
        <rFont val="Arial"/>
        <family val="2"/>
      </rPr>
      <t>PAY SCALE TYPE: 18 IE_Sperry 2-4 (Dataingeniører)</t>
    </r>
  </si>
  <si>
    <r>
      <t xml:space="preserve">SALARY STRUCTURE FOR  - Sperry - Data Engineers 01.01.2014 </t>
    </r>
    <r>
      <rPr>
        <b/>
        <u val="single"/>
        <sz val="8"/>
        <color indexed="10"/>
        <rFont val="Arial"/>
        <family val="2"/>
      </rPr>
      <t>PAY SCALE TYPE: 18 IE_Sperry 2-4 (Dataingeniører)</t>
    </r>
  </si>
  <si>
    <r>
      <t xml:space="preserve">SALARY STRUCTURE FOR  - Sperry - Data Engineers 01.06.2014 </t>
    </r>
    <r>
      <rPr>
        <b/>
        <u val="single"/>
        <sz val="8"/>
        <color indexed="10"/>
        <rFont val="Arial"/>
        <family val="2"/>
      </rPr>
      <t>PAY SCALE TYPE: 18 IE_Sperry 2-4 (Dataingeniører)</t>
    </r>
  </si>
  <si>
    <r>
      <t xml:space="preserve">SALARY STRUCTURE FOR  - Sperry - Data Engineers 01.01.2015 </t>
    </r>
    <r>
      <rPr>
        <b/>
        <u val="single"/>
        <sz val="8"/>
        <color indexed="10"/>
        <rFont val="Arial"/>
        <family val="2"/>
      </rPr>
      <t>PAY SCALE TYPE: 18 IE_Sperry 2-4 (Dataingeniører)</t>
    </r>
  </si>
  <si>
    <r>
      <t xml:space="preserve">SALARY STRUCTURE FOR  - Sperry - Data Engineers 01.06.2015 </t>
    </r>
    <r>
      <rPr>
        <b/>
        <u val="single"/>
        <sz val="8"/>
        <color indexed="10"/>
        <rFont val="Arial"/>
        <family val="2"/>
      </rPr>
      <t>PAY SCALE TYPE: 18 IE_Sperry 2-4 (Dataingeniører)</t>
    </r>
  </si>
  <si>
    <r>
      <t xml:space="preserve">SALARY STRUCTURE FOR  - Sperry - Data Engineers 01.01.2016 </t>
    </r>
    <r>
      <rPr>
        <b/>
        <u val="single"/>
        <sz val="8"/>
        <color indexed="10"/>
        <rFont val="Arial"/>
        <family val="2"/>
      </rPr>
      <t>PAY SCALE TYPE: 18 IE_Sperry 2-4 (Dataingeniører)</t>
    </r>
  </si>
  <si>
    <r>
      <t xml:space="preserve">SALARY STRUCTURE FOR  - Sperry - Data Engineers 12.10.2016 </t>
    </r>
    <r>
      <rPr>
        <b/>
        <u val="single"/>
        <sz val="8"/>
        <color indexed="10"/>
        <rFont val="Arial"/>
        <family val="2"/>
      </rPr>
      <t>PAY SCALE TYPE: 18 IE_Sperry 2-4 (Dataingeniører)</t>
    </r>
  </si>
  <si>
    <r>
      <t xml:space="preserve">SALARY STRUCTURE FOR  - Sperry - Data Engineers 01.01.2017 </t>
    </r>
    <r>
      <rPr>
        <b/>
        <u val="single"/>
        <sz val="8"/>
        <color indexed="10"/>
        <rFont val="Arial"/>
        <family val="2"/>
      </rPr>
      <t>PAY SCALE TYPE: 18 IE_Sperry 2-4 (Dataingeniører)</t>
    </r>
  </si>
  <si>
    <r>
      <t xml:space="preserve">SALARY STRUCTURE FOR  - Sperry - Data Engineers 01.06.2017 </t>
    </r>
    <r>
      <rPr>
        <b/>
        <u val="single"/>
        <sz val="8"/>
        <color indexed="10"/>
        <rFont val="Arial"/>
        <family val="2"/>
      </rPr>
      <t>PAY SCALE TYPE: 18 IE_Sperry 2-4 (Dataingeniører)</t>
    </r>
  </si>
  <si>
    <r>
      <t xml:space="preserve">SALARY STRUCTURE FOR  - Sperry - Data Engineers 01.01.2018 </t>
    </r>
    <r>
      <rPr>
        <b/>
        <u val="single"/>
        <sz val="8"/>
        <color indexed="10"/>
        <rFont val="Arial"/>
        <family val="2"/>
      </rPr>
      <t>PAY SCALE TYPE: 18 IE_Sperry 2-4 (Dataingeniører)</t>
    </r>
  </si>
  <si>
    <t>B11</t>
  </si>
  <si>
    <r>
      <t xml:space="preserve">SALARY STRUCTURE FOR  - Sperry - Data Engineers 01.06.2018 </t>
    </r>
    <r>
      <rPr>
        <b/>
        <u val="single"/>
        <sz val="8"/>
        <color indexed="10"/>
        <rFont val="Arial"/>
        <family val="2"/>
      </rPr>
      <t>PAY SCALE TYPE: 18 IE_Sperry 2-4 (Dataingeniører)</t>
    </r>
  </si>
  <si>
    <r>
      <t xml:space="preserve">SALARY STRUCTURE FOR  - Sperry - Data Engineers 01.01.2019 </t>
    </r>
    <r>
      <rPr>
        <b/>
        <u val="single"/>
        <sz val="8"/>
        <color indexed="10"/>
        <rFont val="Arial"/>
        <family val="2"/>
      </rPr>
      <t>PAY SCALE TYPE: 18 IE_Sperry 2-4 (Dataingeniører)</t>
    </r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</si>
  <si>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</si>
  <si>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</si>
  <si>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</si>
  <si>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</si>
  <si>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</si>
  <si>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</si>
  <si>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</si>
  <si>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</si>
  <si>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</si>
  <si>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</si>
  <si>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</si>
  <si>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</si>
  <si>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</si>
  <si>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r>
      <t xml:space="preserve">SALARY STRUCTURE FOR  - Sperry - Data Engineers 01.06.2019 </t>
    </r>
    <r>
      <rPr>
        <b/>
        <u val="single"/>
        <sz val="8"/>
        <color indexed="10"/>
        <rFont val="Arial"/>
        <family val="2"/>
      </rPr>
      <t>PAY SCALE TYPE: 18 IE_Sperry 2-4 (Dataingeniører)</t>
    </r>
  </si>
  <si>
    <r>
      <t xml:space="preserve">SALARY STRUCTURE FOR  - Sperry - Data Engineers 01.01.2020 </t>
    </r>
    <r>
      <rPr>
        <b/>
        <u val="single"/>
        <sz val="8"/>
        <color indexed="10"/>
        <rFont val="Arial"/>
        <family val="2"/>
      </rPr>
      <t>PAY SCALE TYPE: 18 IE_Sperry 2-4 (Dataingeniører)</t>
    </r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</si>
  <si>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</si>
  <si>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</si>
  <si>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</si>
  <si>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</si>
  <si>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</si>
  <si>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</si>
  <si>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</si>
  <si>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</si>
  <si>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</si>
  <si>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</si>
  <si>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Tool Specialist, Jr</t>
  </si>
  <si>
    <t>MW04</t>
  </si>
  <si>
    <t>Field Prof MWD, I</t>
  </si>
  <si>
    <t>Field Prof MWD, II</t>
  </si>
  <si>
    <t xml:space="preserve"> Tool Specialist</t>
  </si>
  <si>
    <t xml:space="preserve"> SV06</t>
  </si>
  <si>
    <t xml:space="preserve"> SV05</t>
  </si>
  <si>
    <t>MW03</t>
  </si>
  <si>
    <t>MW02</t>
  </si>
  <si>
    <t>Field Prof MWD, Sr</t>
  </si>
  <si>
    <t xml:space="preserve"> Tool Specialist, Sr</t>
  </si>
  <si>
    <t>Ind</t>
  </si>
  <si>
    <t>Field Prof MWD, Genl</t>
  </si>
  <si>
    <t>MW01</t>
  </si>
  <si>
    <t>VPE-ESG</t>
  </si>
  <si>
    <t xml:space="preserve"> Tool Specialist, Genl</t>
  </si>
  <si>
    <r>
      <t xml:space="preserve">SALARY STRUCTURE FOR  - Sperry - Data Engineers + Sperry Tool Specialists 01.01.2020 </t>
    </r>
    <r>
      <rPr>
        <b/>
        <u val="single"/>
        <sz val="8"/>
        <color indexed="10"/>
        <rFont val="Arial"/>
        <family val="2"/>
      </rPr>
      <t>PAY SCALE TYPE: 18 IE_Sperry 2-4 (Dataingeniører)</t>
    </r>
  </si>
  <si>
    <t>Retningsmåler (OSA)</t>
  </si>
  <si>
    <r>
      <t xml:space="preserve">SALARY STRUCTURE FOR  - Sperry - Data Engineers + Sperry Tool Specialists 01.06.2020 </t>
    </r>
    <r>
      <rPr>
        <b/>
        <u val="single"/>
        <sz val="8"/>
        <color indexed="10"/>
        <rFont val="Arial"/>
        <family val="2"/>
      </rPr>
      <t>PAY SCALE TYPE: 18 IE_Sperry 2-4 (Dataingeniører)</t>
    </r>
  </si>
  <si>
    <r>
      <t xml:space="preserve">SALARY STRUCTURE FOR  - Sperry - Data Engineers + Sperry Tool Specialists 01.01.2021 </t>
    </r>
    <r>
      <rPr>
        <b/>
        <u val="single"/>
        <sz val="8"/>
        <color indexed="10"/>
        <rFont val="Arial"/>
        <family val="2"/>
      </rPr>
      <t>PAY SCALE TYPE: 18 IE_Sperry 2-4 (Dataingeniører)</t>
    </r>
  </si>
  <si>
    <r>
      <t xml:space="preserve">SALARY STRUCTURE FOR  - Sperry - Data Engineers + Sperry Tool Specialists 01.06.2021 </t>
    </r>
    <r>
      <rPr>
        <b/>
        <u val="single"/>
        <sz val="8"/>
        <color indexed="10"/>
        <rFont val="Arial"/>
        <family val="2"/>
      </rPr>
      <t>PAY SCALE TYPE: 18 IE_Sperry 2-4 (Dataingeniører)</t>
    </r>
  </si>
  <si>
    <r>
      <t xml:space="preserve">SALARY STRUCTURE FOR  - Sperry - Data Engineers + Sperry Tool Specialists 01.01.2022 </t>
    </r>
    <r>
      <rPr>
        <b/>
        <u val="single"/>
        <sz val="8"/>
        <color indexed="10"/>
        <rFont val="Arial"/>
        <family val="2"/>
      </rPr>
      <t>PAY SCALE TYPE: 18 IE_Sperry 2-4 (Dataingeniører)</t>
    </r>
  </si>
  <si>
    <r>
      <t xml:space="preserve">SALARY STRUCTURE FOR  - Sperry - Data Engineers + Sperry Tool Specialists 01.06.2022 </t>
    </r>
    <r>
      <rPr>
        <b/>
        <u val="single"/>
        <sz val="8"/>
        <color indexed="10"/>
        <rFont val="Arial"/>
        <family val="2"/>
      </rPr>
      <t>PAY SCALE TYPE: 18 IE_Sperry 2-4 (Dataingeniører)</t>
    </r>
  </si>
</sst>
</file>

<file path=xl/styles.xml><?xml version="1.0" encoding="utf-8"?>
<styleSheet xmlns="http://schemas.openxmlformats.org/spreadsheetml/2006/main">
  <numFmts count="33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 * #,##0_ ;_ * \-#,##0_ ;_ * &quot;-&quot;??_ ;_ @_ "/>
    <numFmt numFmtId="187" formatCode="dd\-mmm\-yy"/>
    <numFmt numFmtId="188" formatCode="_ * #,##0.0_ ;_ * \-#,##0.0_ ;_ * &quot;-&quot;??_ ;_ @_ "/>
  </numFmts>
  <fonts count="44">
    <font>
      <sz val="10"/>
      <name val="Arial"/>
      <family val="0"/>
    </font>
    <font>
      <b/>
      <sz val="10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33" borderId="0" xfId="0" applyFont="1" applyFill="1" applyBorder="1" applyAlignment="1" applyProtection="1" quotePrefix="1">
      <alignment horizontal="left"/>
      <protection locked="0"/>
    </xf>
    <xf numFmtId="0" fontId="2" fillId="33" borderId="0" xfId="0" applyFont="1" applyFill="1" applyBorder="1" applyAlignment="1" applyProtection="1" quotePrefix="1">
      <alignment horizontal="center"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186" fontId="6" fillId="33" borderId="0" xfId="42" applyNumberFormat="1" applyFont="1" applyFill="1" applyBorder="1" applyAlignment="1" applyProtection="1">
      <alignment horizontal="center" wrapText="1"/>
      <protection locked="0"/>
    </xf>
    <xf numFmtId="186" fontId="3" fillId="33" borderId="0" xfId="42" applyNumberFormat="1" applyFont="1" applyFill="1" applyBorder="1" applyAlignment="1" applyProtection="1">
      <alignment/>
      <protection locked="0"/>
    </xf>
    <xf numFmtId="186" fontId="5" fillId="33" borderId="0" xfId="42" applyNumberFormat="1" applyFont="1" applyFill="1" applyBorder="1" applyAlignment="1" applyProtection="1">
      <alignment wrapText="1"/>
      <protection locked="0"/>
    </xf>
    <xf numFmtId="0" fontId="3" fillId="33" borderId="0" xfId="0" applyFont="1" applyFill="1" applyBorder="1" applyAlignment="1" applyProtection="1">
      <alignment horizontal="center" wrapText="1"/>
      <protection locked="0"/>
    </xf>
    <xf numFmtId="9" fontId="3" fillId="33" borderId="0" xfId="42" applyNumberFormat="1" applyFont="1" applyFill="1" applyBorder="1" applyAlignment="1" applyProtection="1">
      <alignment horizontal="center" wrapText="1"/>
      <protection locked="0"/>
    </xf>
    <xf numFmtId="0" fontId="1" fillId="33" borderId="0" xfId="0" applyFont="1" applyFill="1" applyBorder="1" applyAlignment="1" applyProtection="1">
      <alignment horizontal="center" wrapText="1"/>
      <protection locked="0"/>
    </xf>
    <xf numFmtId="186" fontId="5" fillId="33" borderId="0" xfId="42" applyNumberFormat="1" applyFont="1" applyFill="1" applyBorder="1" applyAlignment="1" applyProtection="1" quotePrefix="1">
      <alignment horizontal="center" wrapText="1"/>
      <protection locked="0"/>
    </xf>
    <xf numFmtId="186" fontId="3" fillId="33" borderId="0" xfId="42" applyNumberFormat="1" applyFont="1" applyFill="1" applyBorder="1" applyAlignment="1" applyProtection="1">
      <alignment horizontal="center" wrapText="1"/>
      <protection locked="0"/>
    </xf>
    <xf numFmtId="186" fontId="5" fillId="33" borderId="0" xfId="42" applyNumberFormat="1" applyFont="1" applyFill="1" applyBorder="1" applyAlignment="1" applyProtection="1">
      <alignment horizontal="center" wrapText="1"/>
      <protection locked="0"/>
    </xf>
    <xf numFmtId="186" fontId="3" fillId="33" borderId="0" xfId="42" applyNumberFormat="1" applyFont="1" applyFill="1" applyBorder="1" applyAlignment="1" applyProtection="1">
      <alignment horizontal="center"/>
      <protection locked="0"/>
    </xf>
    <xf numFmtId="171" fontId="3" fillId="33" borderId="0" xfId="42" applyFont="1" applyFill="1" applyBorder="1" applyAlignment="1" applyProtection="1" quotePrefix="1">
      <alignment horizontal="center" wrapText="1"/>
      <protection locked="0"/>
    </xf>
    <xf numFmtId="9" fontId="3" fillId="33" borderId="0" xfId="42" applyNumberFormat="1" applyFont="1" applyFill="1" applyBorder="1" applyAlignment="1" applyProtection="1" quotePrefix="1">
      <alignment horizontal="right" wrapText="1"/>
      <protection locked="0"/>
    </xf>
    <xf numFmtId="171" fontId="3" fillId="33" borderId="0" xfId="42" applyFont="1" applyFill="1" applyBorder="1" applyAlignment="1" applyProtection="1">
      <alignment horizontal="center" wrapText="1"/>
      <protection locked="0"/>
    </xf>
    <xf numFmtId="0" fontId="5" fillId="33" borderId="0" xfId="0" applyFont="1" applyFill="1" applyBorder="1" applyAlignment="1" applyProtection="1">
      <alignment horizontal="center" wrapText="1"/>
      <protection locked="0"/>
    </xf>
    <xf numFmtId="0" fontId="4" fillId="33" borderId="0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186" fontId="4" fillId="33" borderId="0" xfId="42" applyNumberFormat="1" applyFont="1" applyFill="1" applyBorder="1" applyAlignment="1" applyProtection="1">
      <alignment horizontal="center"/>
      <protection locked="0"/>
    </xf>
    <xf numFmtId="186" fontId="4" fillId="33" borderId="0" xfId="0" applyNumberFormat="1" applyFont="1" applyFill="1" applyBorder="1" applyAlignment="1" applyProtection="1">
      <alignment horizontal="center"/>
      <protection locked="0"/>
    </xf>
    <xf numFmtId="171" fontId="4" fillId="33" borderId="0" xfId="42" applyFont="1" applyFill="1" applyBorder="1" applyAlignment="1" applyProtection="1">
      <alignment horizontal="center"/>
      <protection locked="0"/>
    </xf>
    <xf numFmtId="3" fontId="3" fillId="33" borderId="0" xfId="0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 locked="0"/>
    </xf>
    <xf numFmtId="186" fontId="5" fillId="33" borderId="0" xfId="42" applyNumberFormat="1" applyFont="1" applyFill="1" applyBorder="1" applyAlignment="1" applyProtection="1">
      <alignment horizontal="center"/>
      <protection locked="0"/>
    </xf>
    <xf numFmtId="186" fontId="6" fillId="33" borderId="0" xfId="42" applyNumberFormat="1" applyFont="1" applyFill="1" applyBorder="1" applyAlignment="1" applyProtection="1">
      <alignment/>
      <protection locked="0"/>
    </xf>
    <xf numFmtId="186" fontId="4" fillId="33" borderId="0" xfId="42" applyNumberFormat="1" applyFont="1" applyFill="1" applyBorder="1" applyAlignment="1" applyProtection="1">
      <alignment/>
      <protection locked="0"/>
    </xf>
    <xf numFmtId="186" fontId="5" fillId="33" borderId="0" xfId="42" applyNumberFormat="1" applyFont="1" applyFill="1" applyBorder="1" applyAlignment="1" applyProtection="1">
      <alignment/>
      <protection locked="0"/>
    </xf>
    <xf numFmtId="186" fontId="3" fillId="33" borderId="0" xfId="42" applyNumberFormat="1" applyFont="1" applyFill="1" applyBorder="1" applyAlignment="1" applyProtection="1">
      <alignment wrapText="1"/>
      <protection locked="0"/>
    </xf>
    <xf numFmtId="186" fontId="4" fillId="33" borderId="0" xfId="42" applyNumberFormat="1" applyFont="1" applyFill="1" applyBorder="1" applyAlignment="1" applyProtection="1">
      <alignment horizontal="center" wrapText="1"/>
      <protection locked="0"/>
    </xf>
    <xf numFmtId="0" fontId="4" fillId="33" borderId="0" xfId="0" applyFont="1" applyFill="1" applyBorder="1" applyAlignment="1" applyProtection="1">
      <alignment horizontal="center" wrapText="1"/>
      <protection locked="0"/>
    </xf>
    <xf numFmtId="171" fontId="4" fillId="33" borderId="0" xfId="42" applyFont="1" applyFill="1" applyBorder="1" applyAlignment="1" applyProtection="1">
      <alignment horizontal="center" wrapText="1"/>
      <protection locked="0"/>
    </xf>
    <xf numFmtId="9" fontId="4" fillId="33" borderId="0" xfId="42" applyNumberFormat="1" applyFont="1" applyFill="1" applyBorder="1" applyAlignment="1" applyProtection="1">
      <alignment horizontal="center" wrapText="1"/>
      <protection locked="0"/>
    </xf>
    <xf numFmtId="187" fontId="3" fillId="33" borderId="0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">
      <selection activeCell="D6" sqref="D6"/>
    </sheetView>
  </sheetViews>
  <sheetFormatPr defaultColWidth="10.421875" defaultRowHeight="12" customHeight="1"/>
  <cols>
    <col min="1" max="1" width="7.8515625" style="4" customWidth="1"/>
    <col min="2" max="2" width="21.00390625" style="26" bestFit="1" customWidth="1"/>
    <col min="3" max="3" width="5.140625" style="26" bestFit="1" customWidth="1"/>
    <col min="4" max="4" width="15.421875" style="21" customWidth="1"/>
    <col min="5" max="5" width="7.57421875" style="21" bestFit="1" customWidth="1"/>
    <col min="6" max="6" width="7.421875" style="27" bestFit="1" customWidth="1"/>
    <col min="7" max="7" width="7.57421875" style="15" customWidth="1"/>
    <col min="8" max="8" width="7.140625" style="15" customWidth="1"/>
    <col min="9" max="9" width="7.7109375" style="28" bestFit="1" customWidth="1"/>
    <col min="10" max="10" width="3.00390625" style="29" customWidth="1"/>
    <col min="11" max="11" width="5.7109375" style="28" customWidth="1"/>
    <col min="12" max="12" width="6.57421875" style="22" hidden="1" customWidth="1"/>
    <col min="13" max="13" width="10.7109375" style="21" hidden="1" customWidth="1"/>
    <col min="14" max="14" width="10.00390625" style="24" bestFit="1" customWidth="1"/>
    <col min="15" max="15" width="8.00390625" style="24" customWidth="1"/>
    <col min="16" max="16" width="8.57421875" style="24" customWidth="1"/>
    <col min="17" max="16384" width="10.421875" style="21" customWidth="1"/>
  </cols>
  <sheetData>
    <row r="1" spans="1:15" s="4" customFormat="1" ht="12" customHeight="1">
      <c r="A1" s="1" t="s">
        <v>33</v>
      </c>
      <c r="B1" s="2"/>
      <c r="C1" s="2"/>
      <c r="D1" s="3"/>
      <c r="F1" s="5"/>
      <c r="I1" s="6"/>
      <c r="J1" s="7"/>
      <c r="K1" s="8"/>
      <c r="M1" s="9" t="s">
        <v>0</v>
      </c>
      <c r="O1" s="10"/>
    </row>
    <row r="2" spans="1:15" s="4" customFormat="1" ht="12" customHeight="1">
      <c r="A2" s="1"/>
      <c r="B2" s="2"/>
      <c r="C2" s="2"/>
      <c r="D2" s="3"/>
      <c r="F2" s="5"/>
      <c r="I2" s="6"/>
      <c r="J2" s="7"/>
      <c r="K2" s="8"/>
      <c r="M2" s="9"/>
      <c r="O2" s="10"/>
    </row>
    <row r="3" spans="1:17" s="4" customFormat="1" ht="56.25">
      <c r="A3" s="11" t="s">
        <v>22</v>
      </c>
      <c r="B3" s="3" t="s">
        <v>3</v>
      </c>
      <c r="C3" s="3" t="s">
        <v>2</v>
      </c>
      <c r="D3" s="10" t="s">
        <v>4</v>
      </c>
      <c r="E3" s="10" t="s">
        <v>5</v>
      </c>
      <c r="F3" s="12" t="s">
        <v>6</v>
      </c>
      <c r="G3" s="13" t="s">
        <v>7</v>
      </c>
      <c r="H3" s="13" t="s">
        <v>8</v>
      </c>
      <c r="I3" s="14" t="s">
        <v>32</v>
      </c>
      <c r="J3" s="15"/>
      <c r="K3" s="13" t="s">
        <v>20</v>
      </c>
      <c r="L3" s="13"/>
      <c r="M3" s="9"/>
      <c r="N3" s="16" t="s">
        <v>9</v>
      </c>
      <c r="O3" s="17" t="s">
        <v>10</v>
      </c>
      <c r="P3" s="16" t="s">
        <v>11</v>
      </c>
      <c r="Q3" s="18"/>
    </row>
    <row r="4" spans="1:16" s="4" customFormat="1" ht="11.25">
      <c r="A4" s="19"/>
      <c r="B4" s="3"/>
      <c r="C4" s="3"/>
      <c r="D4" s="10"/>
      <c r="E4" s="10"/>
      <c r="F4" s="12"/>
      <c r="G4" s="13"/>
      <c r="H4" s="13"/>
      <c r="I4" s="14"/>
      <c r="J4" s="15"/>
      <c r="K4" s="14"/>
      <c r="L4" s="13"/>
      <c r="M4" s="9"/>
      <c r="N4" s="16"/>
      <c r="O4" s="17"/>
      <c r="P4" s="16"/>
    </row>
    <row r="5" spans="1:17" ht="10.5" customHeight="1">
      <c r="A5" s="4" t="s">
        <v>12</v>
      </c>
      <c r="B5" s="20" t="s">
        <v>24</v>
      </c>
      <c r="C5" s="20" t="s">
        <v>25</v>
      </c>
      <c r="D5" s="21" t="s">
        <v>30</v>
      </c>
      <c r="E5" s="21" t="s">
        <v>21</v>
      </c>
      <c r="F5" s="15">
        <f>(466721*1.011)+10000</f>
        <v>481854.9309999999</v>
      </c>
      <c r="G5" s="22">
        <f aca="true" t="shared" si="0" ref="G5:G13">F5-(F5/1.12)</f>
        <v>51627.31403571431</v>
      </c>
      <c r="H5" s="22">
        <f aca="true" t="shared" si="1" ref="H5:H12">K5*132</f>
        <v>0</v>
      </c>
      <c r="I5" s="7">
        <f>F5/12</f>
        <v>40154.577583333325</v>
      </c>
      <c r="J5" s="7"/>
      <c r="K5" s="7">
        <v>0</v>
      </c>
      <c r="L5" s="22">
        <f>K5*146</f>
        <v>0</v>
      </c>
      <c r="M5" s="23">
        <f aca="true" t="shared" si="2" ref="M5:M12">(F5-L5)/12</f>
        <v>40154.577583333325</v>
      </c>
      <c r="N5" s="24">
        <f>F5/1752</f>
        <v>275.03135331050225</v>
      </c>
      <c r="O5" s="24">
        <f>N5*1.65</f>
        <v>453.8017329623287</v>
      </c>
      <c r="P5" s="24">
        <f>I5/162.5</f>
        <v>247.10509282051277</v>
      </c>
      <c r="Q5" s="25"/>
    </row>
    <row r="6" spans="1:17" ht="10.5" customHeight="1">
      <c r="A6" s="4" t="s">
        <v>13</v>
      </c>
      <c r="B6" s="20" t="s">
        <v>26</v>
      </c>
      <c r="C6" s="20" t="s">
        <v>29</v>
      </c>
      <c r="D6" s="21" t="s">
        <v>1</v>
      </c>
      <c r="F6" s="15">
        <f>(478568*1.011)+10000</f>
        <v>493832.24799999996</v>
      </c>
      <c r="G6" s="22">
        <f t="shared" si="0"/>
        <v>52910.598000000056</v>
      </c>
      <c r="H6" s="22">
        <f t="shared" si="1"/>
        <v>0</v>
      </c>
      <c r="I6" s="7">
        <f aca="true" t="shared" si="3" ref="I6:I13">F6/12</f>
        <v>41152.68733333333</v>
      </c>
      <c r="J6" s="7"/>
      <c r="K6" s="7">
        <v>0</v>
      </c>
      <c r="L6" s="22">
        <f>K6*146</f>
        <v>0</v>
      </c>
      <c r="M6" s="23">
        <f t="shared" si="2"/>
        <v>41152.68733333333</v>
      </c>
      <c r="N6" s="24">
        <f>F6/1752</f>
        <v>281.8677214611872</v>
      </c>
      <c r="O6" s="24">
        <f>N6*1.65</f>
        <v>465.0817404109589</v>
      </c>
      <c r="P6" s="24">
        <f>I6/162.5</f>
        <v>253.24730666666665</v>
      </c>
      <c r="Q6" s="25"/>
    </row>
    <row r="7" spans="1:17" ht="10.5" customHeight="1">
      <c r="A7" s="4" t="s">
        <v>14</v>
      </c>
      <c r="B7" s="20" t="s">
        <v>27</v>
      </c>
      <c r="C7" s="20" t="s">
        <v>28</v>
      </c>
      <c r="D7" s="21" t="s">
        <v>31</v>
      </c>
      <c r="F7" s="15">
        <f>(490413*1.011)+10000</f>
        <v>505807.54299999995</v>
      </c>
      <c r="G7" s="22">
        <f t="shared" si="0"/>
        <v>54193.66532142862</v>
      </c>
      <c r="H7" s="22">
        <f t="shared" si="1"/>
        <v>0</v>
      </c>
      <c r="I7" s="7">
        <f t="shared" si="3"/>
        <v>42150.62858333333</v>
      </c>
      <c r="J7" s="7"/>
      <c r="K7" s="7">
        <v>0</v>
      </c>
      <c r="L7" s="22">
        <f aca="true" t="shared" si="4" ref="L7:L13">K7*146</f>
        <v>0</v>
      </c>
      <c r="M7" s="23">
        <f t="shared" si="2"/>
        <v>42150.62858333333</v>
      </c>
      <c r="N7" s="24">
        <f aca="true" t="shared" si="5" ref="N7:N12">F7/1752</f>
        <v>288.7029355022831</v>
      </c>
      <c r="O7" s="24">
        <f aca="true" t="shared" si="6" ref="O7:O13">N7*1.65</f>
        <v>476.3598435787671</v>
      </c>
      <c r="P7" s="24">
        <f aca="true" t="shared" si="7" ref="P7:P12">I7/162.5</f>
        <v>259.3884835897436</v>
      </c>
      <c r="Q7" s="25"/>
    </row>
    <row r="8" spans="1:17" ht="10.5" customHeight="1">
      <c r="A8" s="4" t="s">
        <v>15</v>
      </c>
      <c r="F8" s="15">
        <f>(502261*1.011)+10000</f>
        <v>517785.8709999999</v>
      </c>
      <c r="G8" s="22">
        <f t="shared" si="0"/>
        <v>55477.057607142895</v>
      </c>
      <c r="H8" s="22">
        <f t="shared" si="1"/>
        <v>0</v>
      </c>
      <c r="I8" s="7">
        <f t="shared" si="3"/>
        <v>43148.82258333333</v>
      </c>
      <c r="J8" s="7"/>
      <c r="K8" s="7">
        <v>0</v>
      </c>
      <c r="L8" s="22">
        <f t="shared" si="4"/>
        <v>0</v>
      </c>
      <c r="M8" s="23">
        <f t="shared" si="2"/>
        <v>43148.82258333333</v>
      </c>
      <c r="N8" s="24">
        <f t="shared" si="5"/>
        <v>295.5398807077625</v>
      </c>
      <c r="O8" s="24">
        <f t="shared" si="6"/>
        <v>487.6408031678081</v>
      </c>
      <c r="P8" s="24">
        <f t="shared" si="7"/>
        <v>265.53121589743586</v>
      </c>
      <c r="Q8" s="25"/>
    </row>
    <row r="9" spans="1:17" ht="10.5" customHeight="1">
      <c r="A9" s="4" t="s">
        <v>16</v>
      </c>
      <c r="F9" s="15">
        <f>(514107*1.011)+10000</f>
        <v>529762.1769999999</v>
      </c>
      <c r="G9" s="22">
        <f t="shared" si="0"/>
        <v>56760.23325000005</v>
      </c>
      <c r="H9" s="22">
        <f t="shared" si="1"/>
        <v>0</v>
      </c>
      <c r="I9" s="7">
        <f t="shared" si="3"/>
        <v>44146.84808333332</v>
      </c>
      <c r="J9" s="7"/>
      <c r="K9" s="7">
        <v>0</v>
      </c>
      <c r="L9" s="22">
        <f t="shared" si="4"/>
        <v>0</v>
      </c>
      <c r="M9" s="23">
        <f t="shared" si="2"/>
        <v>44146.84808333332</v>
      </c>
      <c r="N9" s="24">
        <f t="shared" si="5"/>
        <v>302.3756718036529</v>
      </c>
      <c r="O9" s="24">
        <f t="shared" si="6"/>
        <v>498.91985847602723</v>
      </c>
      <c r="P9" s="24">
        <f t="shared" si="7"/>
        <v>271.67291128205125</v>
      </c>
      <c r="Q9" s="25"/>
    </row>
    <row r="10" spans="1:17" ht="10.5" customHeight="1">
      <c r="A10" s="4" t="s">
        <v>17</v>
      </c>
      <c r="F10" s="15">
        <f>531739+10000</f>
        <v>541739</v>
      </c>
      <c r="G10" s="22">
        <f t="shared" si="0"/>
        <v>58043.46428571432</v>
      </c>
      <c r="H10" s="22">
        <f t="shared" si="1"/>
        <v>0</v>
      </c>
      <c r="I10" s="7">
        <f t="shared" si="3"/>
        <v>45144.916666666664</v>
      </c>
      <c r="J10" s="7"/>
      <c r="K10" s="7">
        <v>0</v>
      </c>
      <c r="L10" s="22">
        <f t="shared" si="4"/>
        <v>0</v>
      </c>
      <c r="M10" s="23">
        <f t="shared" si="2"/>
        <v>45144.916666666664</v>
      </c>
      <c r="N10" s="24">
        <f t="shared" si="5"/>
        <v>309.21175799086757</v>
      </c>
      <c r="O10" s="24">
        <f t="shared" si="6"/>
        <v>510.19940068493145</v>
      </c>
      <c r="P10" s="24">
        <f t="shared" si="7"/>
        <v>277.8148717948718</v>
      </c>
      <c r="Q10" s="25"/>
    </row>
    <row r="11" spans="1:17" ht="10.5" customHeight="1">
      <c r="A11" s="4" t="s">
        <v>18</v>
      </c>
      <c r="F11" s="15">
        <f>543716+10000</f>
        <v>553716</v>
      </c>
      <c r="G11" s="22">
        <f t="shared" si="0"/>
        <v>59326.71428571432</v>
      </c>
      <c r="H11" s="22">
        <f t="shared" si="1"/>
        <v>0</v>
      </c>
      <c r="I11" s="7">
        <f t="shared" si="3"/>
        <v>46143</v>
      </c>
      <c r="J11" s="7"/>
      <c r="K11" s="7">
        <v>0</v>
      </c>
      <c r="L11" s="22">
        <f t="shared" si="4"/>
        <v>0</v>
      </c>
      <c r="M11" s="23">
        <f t="shared" si="2"/>
        <v>46143</v>
      </c>
      <c r="N11" s="24">
        <f t="shared" si="5"/>
        <v>316.04794520547944</v>
      </c>
      <c r="O11" s="24">
        <f t="shared" si="6"/>
        <v>521.4791095890411</v>
      </c>
      <c r="P11" s="24">
        <f t="shared" si="7"/>
        <v>283.9569230769231</v>
      </c>
      <c r="Q11" s="25"/>
    </row>
    <row r="12" spans="1:17" ht="10.5" customHeight="1">
      <c r="A12" s="4" t="s">
        <v>19</v>
      </c>
      <c r="F12" s="15">
        <f>(553330*1.011)+10000</f>
        <v>569416.6299999999</v>
      </c>
      <c r="G12" s="22">
        <f t="shared" si="0"/>
        <v>61008.924642857164</v>
      </c>
      <c r="H12" s="22">
        <f t="shared" si="1"/>
        <v>0</v>
      </c>
      <c r="I12" s="7">
        <f t="shared" si="3"/>
        <v>47451.38583333333</v>
      </c>
      <c r="J12" s="7"/>
      <c r="K12" s="7">
        <v>0</v>
      </c>
      <c r="L12" s="22">
        <f t="shared" si="4"/>
        <v>0</v>
      </c>
      <c r="M12" s="23">
        <f t="shared" si="2"/>
        <v>47451.38583333333</v>
      </c>
      <c r="N12" s="24">
        <f t="shared" si="5"/>
        <v>325.0094920091324</v>
      </c>
      <c r="O12" s="24">
        <f t="shared" si="6"/>
        <v>536.2656618150684</v>
      </c>
      <c r="P12" s="24">
        <f t="shared" si="7"/>
        <v>292.0085282051282</v>
      </c>
      <c r="Q12" s="25"/>
    </row>
    <row r="13" spans="1:17" ht="10.5" customHeight="1">
      <c r="A13" s="4" t="s">
        <v>23</v>
      </c>
      <c r="F13" s="15">
        <f>(568330*1.011)+10000</f>
        <v>584581.6299999999</v>
      </c>
      <c r="G13" s="22">
        <f t="shared" si="0"/>
        <v>62633.746071428584</v>
      </c>
      <c r="H13" s="22">
        <f>K13*132</f>
        <v>0</v>
      </c>
      <c r="I13" s="7">
        <f t="shared" si="3"/>
        <v>48715.13583333333</v>
      </c>
      <c r="J13" s="7"/>
      <c r="K13" s="7">
        <v>0</v>
      </c>
      <c r="L13" s="22">
        <f t="shared" si="4"/>
        <v>0</v>
      </c>
      <c r="M13" s="23">
        <f>(F13-L13)/12</f>
        <v>48715.13583333333</v>
      </c>
      <c r="N13" s="24">
        <f>F13/1752</f>
        <v>333.6653139269406</v>
      </c>
      <c r="O13" s="24">
        <f t="shared" si="6"/>
        <v>550.5477679794519</v>
      </c>
      <c r="P13" s="24">
        <f>I13/162.5</f>
        <v>299.7854512820512</v>
      </c>
      <c r="Q13" s="25"/>
    </row>
    <row r="14" spans="6:13" ht="10.5" customHeight="1">
      <c r="F14" s="15"/>
      <c r="G14" s="22"/>
      <c r="H14" s="22"/>
      <c r="I14" s="7"/>
      <c r="J14" s="7"/>
      <c r="K14" s="7"/>
      <c r="M14" s="23"/>
    </row>
    <row r="15" spans="11:13" ht="10.5" customHeight="1">
      <c r="K15" s="7">
        <v>0</v>
      </c>
      <c r="M15" s="23"/>
    </row>
    <row r="16" ht="10.5" customHeight="1">
      <c r="M16" s="23"/>
    </row>
    <row r="17" ht="10.5" customHeight="1">
      <c r="M17" s="23"/>
    </row>
    <row r="18" ht="10.5" customHeight="1">
      <c r="M18" s="23"/>
    </row>
    <row r="19" ht="10.5" customHeight="1">
      <c r="M19" s="23"/>
    </row>
    <row r="20" ht="10.5" customHeight="1">
      <c r="M20" s="23"/>
    </row>
    <row r="21" ht="10.5" customHeight="1">
      <c r="M21" s="23"/>
    </row>
    <row r="22" ht="10.5" customHeight="1">
      <c r="M22" s="23"/>
    </row>
    <row r="23" ht="10.5" customHeight="1">
      <c r="M23" s="23"/>
    </row>
    <row r="24" ht="10.5" customHeight="1">
      <c r="M24" s="23"/>
    </row>
    <row r="25" ht="10.5" customHeight="1">
      <c r="M25" s="23"/>
    </row>
    <row r="26" spans="11:13" ht="10.5" customHeight="1">
      <c r="K26" s="30"/>
      <c r="M26" s="23"/>
    </row>
    <row r="28" spans="1:15" s="4" customFormat="1" ht="12" customHeight="1">
      <c r="A28" s="1"/>
      <c r="B28" s="2"/>
      <c r="C28" s="2"/>
      <c r="D28" s="3"/>
      <c r="F28" s="5"/>
      <c r="I28" s="6"/>
      <c r="J28" s="7"/>
      <c r="K28" s="8"/>
      <c r="M28" s="9"/>
      <c r="O28" s="10"/>
    </row>
    <row r="29" spans="1:15" s="4" customFormat="1" ht="12" customHeight="1">
      <c r="A29" s="1"/>
      <c r="B29" s="2"/>
      <c r="C29" s="2"/>
      <c r="D29" s="3"/>
      <c r="F29" s="5"/>
      <c r="I29" s="6"/>
      <c r="J29" s="7"/>
      <c r="K29" s="8"/>
      <c r="M29" s="9"/>
      <c r="O29" s="10"/>
    </row>
    <row r="30" spans="1:13" ht="10.5" customHeight="1">
      <c r="A30" s="9"/>
      <c r="D30" s="26"/>
      <c r="F30" s="15"/>
      <c r="G30" s="22"/>
      <c r="H30" s="22"/>
      <c r="I30" s="7"/>
      <c r="J30" s="7"/>
      <c r="K30" s="7"/>
      <c r="M30" s="23"/>
    </row>
    <row r="31" spans="1:13" ht="10.5" customHeight="1">
      <c r="A31" s="9"/>
      <c r="D31" s="26"/>
      <c r="F31" s="15"/>
      <c r="G31" s="22"/>
      <c r="H31" s="22"/>
      <c r="I31" s="7"/>
      <c r="J31" s="7"/>
      <c r="K31" s="7"/>
      <c r="M31" s="23"/>
    </row>
    <row r="32" spans="1:13" ht="10.5" customHeight="1">
      <c r="A32" s="9"/>
      <c r="F32" s="15"/>
      <c r="G32" s="22"/>
      <c r="H32" s="22"/>
      <c r="I32" s="7"/>
      <c r="J32" s="7"/>
      <c r="K32" s="7"/>
      <c r="M32" s="23"/>
    </row>
    <row r="33" spans="1:13" ht="10.5" customHeight="1">
      <c r="A33" s="9"/>
      <c r="F33" s="15"/>
      <c r="G33" s="22"/>
      <c r="H33" s="22"/>
      <c r="I33" s="7"/>
      <c r="J33" s="7"/>
      <c r="K33" s="7"/>
      <c r="M33" s="23"/>
    </row>
    <row r="34" spans="1:13" ht="10.5" customHeight="1">
      <c r="A34" s="9"/>
      <c r="F34" s="15"/>
      <c r="G34" s="22"/>
      <c r="H34" s="22"/>
      <c r="I34" s="7"/>
      <c r="J34" s="7"/>
      <c r="K34" s="7"/>
      <c r="M34" s="23"/>
    </row>
    <row r="35" spans="1:13" ht="10.5" customHeight="1">
      <c r="A35" s="9"/>
      <c r="F35" s="15"/>
      <c r="G35" s="22"/>
      <c r="H35" s="22"/>
      <c r="I35" s="7"/>
      <c r="J35" s="7"/>
      <c r="K35" s="7"/>
      <c r="M35" s="23"/>
    </row>
    <row r="36" spans="1:13" ht="10.5" customHeight="1">
      <c r="A36" s="9"/>
      <c r="F36" s="15"/>
      <c r="G36" s="22"/>
      <c r="H36" s="22"/>
      <c r="I36" s="7"/>
      <c r="J36" s="7"/>
      <c r="K36" s="7"/>
      <c r="M36" s="23"/>
    </row>
    <row r="37" spans="1:13" ht="10.5" customHeight="1">
      <c r="A37" s="9"/>
      <c r="F37" s="15"/>
      <c r="G37" s="22"/>
      <c r="H37" s="22"/>
      <c r="I37" s="7"/>
      <c r="J37" s="7"/>
      <c r="K37" s="7"/>
      <c r="M37" s="23"/>
    </row>
    <row r="38" spans="1:13" ht="10.5" customHeight="1">
      <c r="A38" s="9"/>
      <c r="F38" s="15"/>
      <c r="G38" s="22"/>
      <c r="H38" s="22"/>
      <c r="I38" s="7"/>
      <c r="J38" s="7"/>
      <c r="K38" s="7"/>
      <c r="M38" s="23"/>
    </row>
    <row r="39" spans="1:13" ht="10.5" customHeight="1">
      <c r="A39" s="9"/>
      <c r="F39" s="15"/>
      <c r="G39" s="22"/>
      <c r="H39" s="22"/>
      <c r="I39" s="7"/>
      <c r="J39" s="7"/>
      <c r="K39" s="7"/>
      <c r="M39" s="23"/>
    </row>
    <row r="40" spans="1:13" ht="10.5" customHeight="1">
      <c r="A40" s="9"/>
      <c r="F40" s="15"/>
      <c r="G40" s="22"/>
      <c r="H40" s="22"/>
      <c r="I40" s="7"/>
      <c r="J40" s="7"/>
      <c r="K40" s="7"/>
      <c r="M40" s="23"/>
    </row>
    <row r="41" spans="1:15" ht="10.5" customHeight="1">
      <c r="A41" s="9"/>
      <c r="F41" s="4"/>
      <c r="G41" s="22"/>
      <c r="H41" s="22"/>
      <c r="I41" s="7"/>
      <c r="J41" s="31"/>
      <c r="K41" s="31"/>
      <c r="L41" s="32"/>
      <c r="M41" s="33"/>
      <c r="N41" s="34"/>
      <c r="O41" s="35"/>
    </row>
    <row r="42" spans="1:13" ht="10.5" customHeight="1">
      <c r="A42" s="36"/>
      <c r="F42" s="15"/>
      <c r="G42" s="22"/>
      <c r="H42" s="22"/>
      <c r="I42" s="7"/>
      <c r="J42" s="7"/>
      <c r="K42" s="7"/>
      <c r="M42" s="23"/>
    </row>
    <row r="43" spans="1:13" ht="10.5" customHeight="1">
      <c r="A43" s="36"/>
      <c r="F43" s="15"/>
      <c r="G43" s="22"/>
      <c r="H43" s="22"/>
      <c r="I43" s="7"/>
      <c r="J43" s="7"/>
      <c r="K43" s="7"/>
      <c r="M43" s="23"/>
    </row>
    <row r="44" spans="1:13" ht="10.5" customHeight="1">
      <c r="A44" s="36"/>
      <c r="F44" s="15"/>
      <c r="G44" s="22"/>
      <c r="H44" s="22"/>
      <c r="I44" s="7"/>
      <c r="J44" s="7"/>
      <c r="K44" s="7"/>
      <c r="M44" s="23"/>
    </row>
    <row r="45" spans="1:13" ht="10.5" customHeight="1">
      <c r="A45" s="36"/>
      <c r="F45" s="15"/>
      <c r="G45" s="22"/>
      <c r="H45" s="22"/>
      <c r="I45" s="7"/>
      <c r="J45" s="7"/>
      <c r="K45" s="7"/>
      <c r="M45" s="23"/>
    </row>
    <row r="46" spans="6:13" ht="10.5" customHeight="1">
      <c r="F46" s="15"/>
      <c r="G46" s="22"/>
      <c r="H46" s="22"/>
      <c r="I46" s="7"/>
      <c r="J46" s="7"/>
      <c r="K46" s="7"/>
      <c r="M46" s="23"/>
    </row>
    <row r="47" spans="6:13" ht="10.5" customHeight="1">
      <c r="F47" s="15"/>
      <c r="G47" s="22"/>
      <c r="H47" s="22"/>
      <c r="I47" s="7"/>
      <c r="J47" s="7"/>
      <c r="K47" s="7"/>
      <c r="M47" s="23"/>
    </row>
    <row r="48" spans="6:13" ht="10.5" customHeight="1">
      <c r="F48" s="15"/>
      <c r="G48" s="22"/>
      <c r="H48" s="22"/>
      <c r="I48" s="7"/>
      <c r="J48" s="7"/>
      <c r="K48" s="7"/>
      <c r="M48" s="23"/>
    </row>
    <row r="49" spans="6:13" ht="10.5" customHeight="1">
      <c r="F49" s="15"/>
      <c r="G49" s="22"/>
      <c r="H49" s="22"/>
      <c r="I49" s="7"/>
      <c r="J49" s="7"/>
      <c r="K49" s="7"/>
      <c r="M49" s="23"/>
    </row>
    <row r="50" spans="6:13" ht="10.5" customHeight="1">
      <c r="F50" s="15"/>
      <c r="G50" s="22"/>
      <c r="H50" s="22"/>
      <c r="I50" s="7"/>
      <c r="J50" s="7"/>
      <c r="K50" s="7"/>
      <c r="M50" s="23"/>
    </row>
    <row r="51" spans="6:13" ht="10.5" customHeight="1">
      <c r="F51" s="15"/>
      <c r="G51" s="22"/>
      <c r="H51" s="22"/>
      <c r="I51" s="7"/>
      <c r="J51" s="7"/>
      <c r="K51" s="7"/>
      <c r="M51" s="23"/>
    </row>
    <row r="52" spans="6:13" ht="10.5" customHeight="1">
      <c r="F52" s="15"/>
      <c r="G52" s="22"/>
      <c r="H52" s="22"/>
      <c r="I52" s="7"/>
      <c r="J52" s="7"/>
      <c r="K52" s="7"/>
      <c r="M52" s="23"/>
    </row>
    <row r="53" spans="6:13" ht="10.5" customHeight="1">
      <c r="F53" s="15"/>
      <c r="G53" s="22"/>
      <c r="H53" s="22"/>
      <c r="I53" s="7"/>
      <c r="J53" s="7"/>
      <c r="K53" s="7"/>
      <c r="M53" s="23"/>
    </row>
    <row r="54" spans="2:13" ht="10.5" customHeight="1">
      <c r="B54" s="20"/>
      <c r="C54" s="20"/>
      <c r="F54" s="15"/>
      <c r="G54" s="22"/>
      <c r="H54" s="22"/>
      <c r="I54" s="7"/>
      <c r="K54" s="7"/>
      <c r="M54" s="23"/>
    </row>
    <row r="55" spans="2:13" ht="10.5" customHeight="1">
      <c r="B55" s="20"/>
      <c r="C55" s="20"/>
      <c r="F55" s="15"/>
      <c r="G55" s="22"/>
      <c r="H55" s="22"/>
      <c r="I55" s="7"/>
      <c r="K55" s="7"/>
      <c r="M55" s="23"/>
    </row>
    <row r="56" spans="2:13" ht="10.5" customHeight="1">
      <c r="B56" s="20"/>
      <c r="C56" s="20"/>
      <c r="F56" s="15"/>
      <c r="G56" s="22"/>
      <c r="H56" s="22"/>
      <c r="I56" s="7"/>
      <c r="K56" s="7"/>
      <c r="M56" s="23"/>
    </row>
    <row r="57" spans="6:13" ht="10.5" customHeight="1">
      <c r="F57" s="15"/>
      <c r="G57" s="22"/>
      <c r="H57" s="22"/>
      <c r="I57" s="7"/>
      <c r="K57" s="7"/>
      <c r="M57" s="23"/>
    </row>
    <row r="58" spans="6:13" ht="10.5" customHeight="1">
      <c r="F58" s="15"/>
      <c r="G58" s="22"/>
      <c r="H58" s="22"/>
      <c r="I58" s="7"/>
      <c r="K58" s="7"/>
      <c r="M58" s="23"/>
    </row>
    <row r="59" spans="6:13" ht="10.5" customHeight="1">
      <c r="F59" s="15"/>
      <c r="G59" s="22"/>
      <c r="H59" s="22"/>
      <c r="I59" s="7"/>
      <c r="K59" s="7"/>
      <c r="M59" s="23"/>
    </row>
    <row r="60" spans="6:13" ht="10.5" customHeight="1">
      <c r="F60" s="15"/>
      <c r="G60" s="22"/>
      <c r="H60" s="22"/>
      <c r="I60" s="7"/>
      <c r="K60" s="7"/>
      <c r="M60" s="23"/>
    </row>
    <row r="61" spans="6:13" ht="10.5" customHeight="1">
      <c r="F61" s="15"/>
      <c r="G61" s="22"/>
      <c r="H61" s="22"/>
      <c r="I61" s="7"/>
      <c r="K61" s="7"/>
      <c r="M61" s="23"/>
    </row>
    <row r="62" spans="6:13" ht="10.5" customHeight="1">
      <c r="F62" s="15"/>
      <c r="G62" s="22"/>
      <c r="H62" s="22"/>
      <c r="I62" s="7"/>
      <c r="K62" s="7"/>
      <c r="M62" s="23"/>
    </row>
    <row r="63" spans="6:13" ht="10.5" customHeight="1">
      <c r="F63" s="15"/>
      <c r="G63" s="22"/>
      <c r="H63" s="22"/>
      <c r="I63" s="7"/>
      <c r="K63" s="7"/>
      <c r="M63" s="23"/>
    </row>
    <row r="64" spans="6:13" ht="10.5" customHeight="1">
      <c r="F64" s="15"/>
      <c r="G64" s="22"/>
      <c r="H64" s="22"/>
      <c r="I64" s="7"/>
      <c r="K64" s="7"/>
      <c r="M64" s="23"/>
    </row>
    <row r="65" spans="7:13" ht="10.5" customHeight="1">
      <c r="G65" s="22"/>
      <c r="H65" s="22"/>
      <c r="M65" s="23"/>
    </row>
    <row r="66" ht="10.5" customHeight="1">
      <c r="M66" s="23"/>
    </row>
    <row r="67" spans="11:13" ht="10.5" customHeight="1">
      <c r="K67" s="7"/>
      <c r="M67" s="23"/>
    </row>
    <row r="68" ht="10.5" customHeight="1">
      <c r="M68" s="23"/>
    </row>
    <row r="69" spans="11:13" ht="10.5" customHeight="1">
      <c r="K69" s="30"/>
      <c r="M69" s="2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1">
      <selection activeCell="A1" sqref="A1:IV16384"/>
    </sheetView>
  </sheetViews>
  <sheetFormatPr defaultColWidth="10.421875" defaultRowHeight="12.75"/>
  <cols>
    <col min="1" max="1" width="7.421875" style="4" customWidth="1"/>
    <col min="2" max="2" width="16.00390625" style="26" customWidth="1"/>
    <col min="3" max="3" width="5.140625" style="26" bestFit="1" customWidth="1"/>
    <col min="4" max="4" width="14.00390625" style="21" customWidth="1"/>
    <col min="5" max="5" width="6.8515625" style="21" customWidth="1"/>
    <col min="6" max="6" width="7.421875" style="27" bestFit="1" customWidth="1"/>
    <col min="7" max="7" width="7.57421875" style="15" customWidth="1"/>
    <col min="8" max="8" width="7.140625" style="15" customWidth="1"/>
    <col min="9" max="9" width="7.7109375" style="28" bestFit="1" customWidth="1"/>
    <col min="10" max="10" width="2.28125" style="29" customWidth="1"/>
    <col min="11" max="11" width="5.421875" style="28" customWidth="1"/>
    <col min="12" max="12" width="6.57421875" style="22" hidden="1" customWidth="1"/>
    <col min="13" max="13" width="10.7109375" style="21" hidden="1" customWidth="1"/>
    <col min="14" max="14" width="10.00390625" style="24" bestFit="1" customWidth="1"/>
    <col min="15" max="15" width="8.00390625" style="24" customWidth="1"/>
    <col min="16" max="16" width="8.57421875" style="24" customWidth="1"/>
    <col min="17" max="16384" width="10.421875" style="21" customWidth="1"/>
  </cols>
  <sheetData>
    <row r="1" spans="1:15" s="4" customFormat="1" ht="12" customHeight="1">
      <c r="A1" s="1" t="s">
        <v>44</v>
      </c>
      <c r="B1" s="2"/>
      <c r="C1" s="2"/>
      <c r="D1" s="3"/>
      <c r="F1" s="5"/>
      <c r="I1" s="6"/>
      <c r="J1" s="7"/>
      <c r="K1" s="8"/>
      <c r="M1" s="9" t="s">
        <v>0</v>
      </c>
      <c r="O1" s="10"/>
    </row>
    <row r="2" spans="1:15" s="4" customFormat="1" ht="12" customHeight="1">
      <c r="A2" s="1"/>
      <c r="B2" s="2"/>
      <c r="C2" s="2"/>
      <c r="D2" s="3"/>
      <c r="F2" s="5"/>
      <c r="I2" s="6"/>
      <c r="J2" s="7"/>
      <c r="K2" s="8"/>
      <c r="M2" s="9"/>
      <c r="O2" s="10"/>
    </row>
    <row r="3" spans="1:17" s="4" customFormat="1" ht="56.25">
      <c r="A3" s="11" t="s">
        <v>22</v>
      </c>
      <c r="B3" s="3" t="s">
        <v>3</v>
      </c>
      <c r="C3" s="3" t="s">
        <v>2</v>
      </c>
      <c r="D3" s="10" t="s">
        <v>4</v>
      </c>
      <c r="E3" s="10" t="s">
        <v>5</v>
      </c>
      <c r="F3" s="12" t="s">
        <v>6</v>
      </c>
      <c r="G3" s="13" t="s">
        <v>7</v>
      </c>
      <c r="H3" s="13" t="s">
        <v>8</v>
      </c>
      <c r="I3" s="14" t="s">
        <v>32</v>
      </c>
      <c r="J3" s="15"/>
      <c r="K3" s="13" t="s">
        <v>20</v>
      </c>
      <c r="L3" s="13"/>
      <c r="M3" s="9"/>
      <c r="N3" s="16" t="s">
        <v>9</v>
      </c>
      <c r="O3" s="17" t="s">
        <v>10</v>
      </c>
      <c r="P3" s="16" t="s">
        <v>11</v>
      </c>
      <c r="Q3" s="18"/>
    </row>
    <row r="4" spans="1:16" s="4" customFormat="1" ht="11.25">
      <c r="A4" s="19"/>
      <c r="B4" s="3"/>
      <c r="C4" s="3"/>
      <c r="D4" s="10"/>
      <c r="E4" s="10"/>
      <c r="F4" s="12"/>
      <c r="G4" s="13"/>
      <c r="H4" s="13"/>
      <c r="I4" s="14"/>
      <c r="J4" s="15"/>
      <c r="K4" s="14"/>
      <c r="L4" s="13"/>
      <c r="M4" s="9"/>
      <c r="N4" s="16"/>
      <c r="O4" s="17"/>
      <c r="P4" s="16"/>
    </row>
    <row r="5" spans="1:17" ht="10.5" customHeight="1">
      <c r="A5" s="4" t="s">
        <v>15</v>
      </c>
      <c r="B5" s="20" t="s">
        <v>26</v>
      </c>
      <c r="C5" s="20" t="s">
        <v>29</v>
      </c>
      <c r="D5" s="21" t="s">
        <v>1</v>
      </c>
      <c r="F5" s="15">
        <f>547077+10000+5340+12000+12000+5160</f>
        <v>591577</v>
      </c>
      <c r="G5" s="22">
        <f aca="true" t="shared" si="0" ref="G5:G10">F5-(F5/1.12)</f>
        <v>63383.25</v>
      </c>
      <c r="H5" s="22">
        <f aca="true" t="shared" si="1" ref="H5:H11">K5*132</f>
        <v>0</v>
      </c>
      <c r="I5" s="7">
        <f aca="true" t="shared" si="2" ref="I5:I10">F5/12</f>
        <v>49298.083333333336</v>
      </c>
      <c r="J5" s="7"/>
      <c r="K5" s="7">
        <v>0</v>
      </c>
      <c r="L5" s="22">
        <f aca="true" t="shared" si="3" ref="L5:L10">K5*146</f>
        <v>0</v>
      </c>
      <c r="M5" s="23">
        <f aca="true" t="shared" si="4" ref="M5:M11">(F5-L5)/12</f>
        <v>49298.083333333336</v>
      </c>
      <c r="N5" s="24">
        <f aca="true" t="shared" si="5" ref="N5:N11">F5/1752</f>
        <v>337.658105022831</v>
      </c>
      <c r="O5" s="24">
        <f aca="true" t="shared" si="6" ref="O5:O10">N5*1.65</f>
        <v>557.1358732876712</v>
      </c>
      <c r="P5" s="24">
        <f aca="true" t="shared" si="7" ref="P5:P11">(F5-(783*146))/1950</f>
        <v>244.74820512820511</v>
      </c>
      <c r="Q5" s="25"/>
    </row>
    <row r="6" spans="1:17" ht="10.5" customHeight="1">
      <c r="A6" s="4" t="s">
        <v>16</v>
      </c>
      <c r="F6" s="15">
        <f>559593+10000+5340+12000+12000+5160</f>
        <v>604093</v>
      </c>
      <c r="G6" s="22">
        <f t="shared" si="0"/>
        <v>64724.25</v>
      </c>
      <c r="H6" s="22">
        <f t="shared" si="1"/>
        <v>0</v>
      </c>
      <c r="I6" s="7">
        <f t="shared" si="2"/>
        <v>50341.083333333336</v>
      </c>
      <c r="J6" s="7"/>
      <c r="K6" s="7">
        <v>0</v>
      </c>
      <c r="L6" s="22">
        <f t="shared" si="3"/>
        <v>0</v>
      </c>
      <c r="M6" s="23">
        <f t="shared" si="4"/>
        <v>50341.083333333336</v>
      </c>
      <c r="N6" s="24">
        <f t="shared" si="5"/>
        <v>344.8019406392694</v>
      </c>
      <c r="O6" s="24">
        <f t="shared" si="6"/>
        <v>568.9232020547945</v>
      </c>
      <c r="P6" s="24">
        <f t="shared" si="7"/>
        <v>251.16666666666666</v>
      </c>
      <c r="Q6" s="25"/>
    </row>
    <row r="7" spans="1:17" ht="10.5" customHeight="1">
      <c r="A7" s="4" t="s">
        <v>17</v>
      </c>
      <c r="B7" s="21"/>
      <c r="C7" s="21"/>
      <c r="F7" s="15">
        <f>572108+10000+5340+12000+12000+5160</f>
        <v>616608</v>
      </c>
      <c r="G7" s="22">
        <f t="shared" si="0"/>
        <v>66065.14285714296</v>
      </c>
      <c r="H7" s="22">
        <f t="shared" si="1"/>
        <v>0</v>
      </c>
      <c r="I7" s="7">
        <f t="shared" si="2"/>
        <v>51384</v>
      </c>
      <c r="J7" s="7"/>
      <c r="K7" s="7">
        <v>0</v>
      </c>
      <c r="L7" s="22">
        <f t="shared" si="3"/>
        <v>0</v>
      </c>
      <c r="M7" s="23">
        <f t="shared" si="4"/>
        <v>51384</v>
      </c>
      <c r="N7" s="24">
        <f t="shared" si="5"/>
        <v>351.94520547945206</v>
      </c>
      <c r="O7" s="24">
        <f t="shared" si="6"/>
        <v>580.7095890410959</v>
      </c>
      <c r="P7" s="24">
        <f t="shared" si="7"/>
        <v>257.5846153846154</v>
      </c>
      <c r="Q7" s="25"/>
    </row>
    <row r="8" spans="1:17" ht="10.5" customHeight="1">
      <c r="A8" s="4" t="s">
        <v>18</v>
      </c>
      <c r="B8" s="20" t="s">
        <v>35</v>
      </c>
      <c r="C8" s="20" t="s">
        <v>28</v>
      </c>
      <c r="D8" s="21" t="s">
        <v>31</v>
      </c>
      <c r="F8" s="15">
        <f>584625+10000+5340+12000+12000+5160</f>
        <v>629125</v>
      </c>
      <c r="G8" s="22">
        <f t="shared" si="0"/>
        <v>67406.25</v>
      </c>
      <c r="H8" s="22">
        <f t="shared" si="1"/>
        <v>0</v>
      </c>
      <c r="I8" s="7">
        <f t="shared" si="2"/>
        <v>52427.083333333336</v>
      </c>
      <c r="J8" s="7"/>
      <c r="K8" s="7">
        <v>0</v>
      </c>
      <c r="L8" s="22">
        <f t="shared" si="3"/>
        <v>0</v>
      </c>
      <c r="M8" s="23">
        <f t="shared" si="4"/>
        <v>52427.083333333336</v>
      </c>
      <c r="N8" s="24">
        <f t="shared" si="5"/>
        <v>359.0896118721461</v>
      </c>
      <c r="O8" s="24">
        <f t="shared" si="6"/>
        <v>592.497859589041</v>
      </c>
      <c r="P8" s="24">
        <f t="shared" si="7"/>
        <v>264.00358974358977</v>
      </c>
      <c r="Q8" s="25"/>
    </row>
    <row r="9" spans="1:17" ht="10.5" customHeight="1">
      <c r="A9" s="4" t="s">
        <v>19</v>
      </c>
      <c r="F9" s="15">
        <f>601031+10000+5340+12000+12000+5160</f>
        <v>645531</v>
      </c>
      <c r="G9" s="22">
        <f t="shared" si="0"/>
        <v>69164.0357142858</v>
      </c>
      <c r="H9" s="22">
        <f t="shared" si="1"/>
        <v>0</v>
      </c>
      <c r="I9" s="7">
        <f t="shared" si="2"/>
        <v>53794.25</v>
      </c>
      <c r="J9" s="7"/>
      <c r="K9" s="7">
        <v>0</v>
      </c>
      <c r="L9" s="22">
        <f t="shared" si="3"/>
        <v>0</v>
      </c>
      <c r="M9" s="23">
        <f t="shared" si="4"/>
        <v>53794.25</v>
      </c>
      <c r="N9" s="24">
        <f t="shared" si="5"/>
        <v>368.45376712328766</v>
      </c>
      <c r="O9" s="24">
        <f t="shared" si="6"/>
        <v>607.9487157534246</v>
      </c>
      <c r="P9" s="24">
        <f t="shared" si="7"/>
        <v>272.41692307692307</v>
      </c>
      <c r="Q9" s="25"/>
    </row>
    <row r="10" spans="1:17" ht="10.5" customHeight="1">
      <c r="A10" s="4" t="s">
        <v>23</v>
      </c>
      <c r="F10" s="15">
        <f>616879+10000+5340+12000+12000+5160</f>
        <v>661379</v>
      </c>
      <c r="G10" s="22">
        <f t="shared" si="0"/>
        <v>70862.0357142858</v>
      </c>
      <c r="H10" s="22">
        <f t="shared" si="1"/>
        <v>0</v>
      </c>
      <c r="I10" s="7">
        <f t="shared" si="2"/>
        <v>55114.916666666664</v>
      </c>
      <c r="J10" s="7"/>
      <c r="K10" s="7">
        <v>0</v>
      </c>
      <c r="L10" s="22">
        <f t="shared" si="3"/>
        <v>0</v>
      </c>
      <c r="M10" s="23">
        <f t="shared" si="4"/>
        <v>55114.916666666664</v>
      </c>
      <c r="N10" s="24">
        <f t="shared" si="5"/>
        <v>377.4994292237443</v>
      </c>
      <c r="O10" s="24">
        <f t="shared" si="6"/>
        <v>622.8740582191781</v>
      </c>
      <c r="P10" s="24">
        <f t="shared" si="7"/>
        <v>280.54410256410256</v>
      </c>
      <c r="Q10" s="25"/>
    </row>
    <row r="11" spans="1:17" ht="10.5" customHeight="1">
      <c r="A11" s="4" t="s">
        <v>37</v>
      </c>
      <c r="F11" s="15">
        <f>629379+10000+6340+12000+12000+5160</f>
        <v>674879</v>
      </c>
      <c r="G11" s="22">
        <f>F11-(F11/1.12)</f>
        <v>72308.46428571432</v>
      </c>
      <c r="H11" s="22">
        <f t="shared" si="1"/>
        <v>0</v>
      </c>
      <c r="I11" s="7">
        <f>F11/12</f>
        <v>56239.916666666664</v>
      </c>
      <c r="J11" s="7"/>
      <c r="K11" s="7">
        <v>0</v>
      </c>
      <c r="L11" s="22">
        <f>K11*146</f>
        <v>0</v>
      </c>
      <c r="M11" s="23">
        <f t="shared" si="4"/>
        <v>56239.916666666664</v>
      </c>
      <c r="N11" s="24">
        <f t="shared" si="5"/>
        <v>385.20490867579906</v>
      </c>
      <c r="O11" s="24">
        <f>N11*1.65</f>
        <v>635.5880993150685</v>
      </c>
      <c r="P11" s="24">
        <f t="shared" si="7"/>
        <v>287.46717948717946</v>
      </c>
      <c r="Q11" s="25"/>
    </row>
    <row r="12" spans="11:13" ht="10.5" customHeight="1">
      <c r="K12" s="7">
        <v>0</v>
      </c>
      <c r="M12" s="23"/>
    </row>
    <row r="13" ht="10.5" customHeight="1">
      <c r="M13" s="23"/>
    </row>
    <row r="14" ht="10.5" customHeight="1">
      <c r="M14" s="23"/>
    </row>
    <row r="15" ht="10.5" customHeight="1">
      <c r="M15" s="23"/>
    </row>
    <row r="16" ht="10.5" customHeight="1">
      <c r="M16" s="23"/>
    </row>
    <row r="17" ht="10.5" customHeight="1">
      <c r="M17" s="23"/>
    </row>
    <row r="18" ht="10.5" customHeight="1">
      <c r="M18" s="23"/>
    </row>
    <row r="19" ht="10.5" customHeight="1">
      <c r="M19" s="23"/>
    </row>
    <row r="20" ht="10.5" customHeight="1">
      <c r="M20" s="23"/>
    </row>
    <row r="21" ht="10.5" customHeight="1">
      <c r="M21" s="23"/>
    </row>
    <row r="22" ht="10.5" customHeight="1">
      <c r="M22" s="23"/>
    </row>
    <row r="23" spans="11:13" ht="10.5" customHeight="1">
      <c r="K23" s="30"/>
      <c r="M23" s="23"/>
    </row>
    <row r="24" ht="12" customHeight="1"/>
    <row r="25" spans="1:15" s="4" customFormat="1" ht="12" customHeight="1">
      <c r="A25" s="1"/>
      <c r="B25" s="2"/>
      <c r="C25" s="2"/>
      <c r="D25" s="3"/>
      <c r="F25" s="5"/>
      <c r="I25" s="6"/>
      <c r="J25" s="7"/>
      <c r="K25" s="8"/>
      <c r="M25" s="9"/>
      <c r="O25" s="10"/>
    </row>
    <row r="26" spans="1:15" s="4" customFormat="1" ht="12" customHeight="1">
      <c r="A26" s="1"/>
      <c r="B26" s="2"/>
      <c r="C26" s="2"/>
      <c r="D26" s="3"/>
      <c r="F26" s="5"/>
      <c r="I26" s="6"/>
      <c r="J26" s="7"/>
      <c r="K26" s="8"/>
      <c r="M26" s="9"/>
      <c r="O26" s="10"/>
    </row>
    <row r="27" spans="1:13" ht="10.5" customHeight="1">
      <c r="A27" s="9"/>
      <c r="D27" s="26"/>
      <c r="F27" s="15"/>
      <c r="G27" s="22"/>
      <c r="H27" s="22"/>
      <c r="I27" s="7"/>
      <c r="J27" s="7"/>
      <c r="K27" s="7"/>
      <c r="M27" s="23"/>
    </row>
    <row r="28" spans="1:13" ht="10.5" customHeight="1">
      <c r="A28" s="9"/>
      <c r="D28" s="26"/>
      <c r="F28" s="15"/>
      <c r="G28" s="22"/>
      <c r="H28" s="22"/>
      <c r="I28" s="7"/>
      <c r="J28" s="7"/>
      <c r="K28" s="7"/>
      <c r="M28" s="23"/>
    </row>
    <row r="29" spans="1:13" ht="10.5" customHeight="1">
      <c r="A29" s="9"/>
      <c r="F29" s="15"/>
      <c r="G29" s="22"/>
      <c r="H29" s="22"/>
      <c r="I29" s="7"/>
      <c r="J29" s="7"/>
      <c r="K29" s="7"/>
      <c r="M29" s="23"/>
    </row>
    <row r="30" spans="1:13" ht="10.5" customHeight="1">
      <c r="A30" s="9"/>
      <c r="F30" s="15"/>
      <c r="G30" s="22"/>
      <c r="H30" s="22"/>
      <c r="I30" s="7"/>
      <c r="J30" s="7"/>
      <c r="K30" s="7"/>
      <c r="M30" s="23"/>
    </row>
    <row r="31" spans="1:13" ht="10.5" customHeight="1">
      <c r="A31" s="9"/>
      <c r="F31" s="15"/>
      <c r="G31" s="22"/>
      <c r="H31" s="22"/>
      <c r="I31" s="7"/>
      <c r="J31" s="7"/>
      <c r="K31" s="7"/>
      <c r="M31" s="23"/>
    </row>
    <row r="32" spans="1:13" ht="10.5" customHeight="1">
      <c r="A32" s="9"/>
      <c r="F32" s="15"/>
      <c r="G32" s="22"/>
      <c r="H32" s="22"/>
      <c r="I32" s="7"/>
      <c r="J32" s="7"/>
      <c r="K32" s="7"/>
      <c r="M32" s="23"/>
    </row>
    <row r="33" spans="1:13" ht="10.5" customHeight="1">
      <c r="A33" s="9"/>
      <c r="F33" s="15"/>
      <c r="G33" s="22"/>
      <c r="H33" s="22"/>
      <c r="I33" s="7"/>
      <c r="J33" s="7"/>
      <c r="K33" s="7"/>
      <c r="M33" s="23"/>
    </row>
    <row r="34" spans="1:13" ht="10.5" customHeight="1">
      <c r="A34" s="9"/>
      <c r="F34" s="15"/>
      <c r="G34" s="22"/>
      <c r="H34" s="22"/>
      <c r="I34" s="7"/>
      <c r="J34" s="7"/>
      <c r="K34" s="7"/>
      <c r="M34" s="23"/>
    </row>
    <row r="35" spans="1:13" ht="10.5" customHeight="1">
      <c r="A35" s="9"/>
      <c r="F35" s="15"/>
      <c r="G35" s="22"/>
      <c r="H35" s="22"/>
      <c r="I35" s="7"/>
      <c r="J35" s="7"/>
      <c r="K35" s="7"/>
      <c r="M35" s="23"/>
    </row>
    <row r="36" spans="1:13" ht="10.5" customHeight="1">
      <c r="A36" s="9"/>
      <c r="F36" s="15"/>
      <c r="G36" s="22"/>
      <c r="H36" s="22"/>
      <c r="I36" s="7"/>
      <c r="J36" s="7"/>
      <c r="K36" s="7"/>
      <c r="M36" s="23"/>
    </row>
    <row r="37" spans="1:13" ht="10.5" customHeight="1">
      <c r="A37" s="9"/>
      <c r="F37" s="15"/>
      <c r="G37" s="22"/>
      <c r="H37" s="22"/>
      <c r="I37" s="7"/>
      <c r="J37" s="7"/>
      <c r="K37" s="7"/>
      <c r="M37" s="23"/>
    </row>
    <row r="38" spans="1:15" ht="10.5" customHeight="1">
      <c r="A38" s="9"/>
      <c r="F38" s="4"/>
      <c r="G38" s="22"/>
      <c r="H38" s="22"/>
      <c r="I38" s="7"/>
      <c r="J38" s="31"/>
      <c r="K38" s="31"/>
      <c r="L38" s="32"/>
      <c r="M38" s="33"/>
      <c r="N38" s="34"/>
      <c r="O38" s="35"/>
    </row>
    <row r="39" spans="1:13" ht="10.5" customHeight="1">
      <c r="A39" s="36"/>
      <c r="F39" s="15"/>
      <c r="G39" s="22"/>
      <c r="H39" s="22"/>
      <c r="I39" s="7"/>
      <c r="J39" s="7"/>
      <c r="K39" s="7"/>
      <c r="M39" s="23"/>
    </row>
    <row r="40" spans="1:13" ht="10.5" customHeight="1">
      <c r="A40" s="36"/>
      <c r="F40" s="15"/>
      <c r="G40" s="22"/>
      <c r="H40" s="22"/>
      <c r="I40" s="7"/>
      <c r="J40" s="7"/>
      <c r="K40" s="7"/>
      <c r="M40" s="23"/>
    </row>
    <row r="41" spans="1:13" ht="10.5" customHeight="1">
      <c r="A41" s="36"/>
      <c r="F41" s="15"/>
      <c r="G41" s="22"/>
      <c r="H41" s="22"/>
      <c r="I41" s="7"/>
      <c r="J41" s="7"/>
      <c r="K41" s="7"/>
      <c r="M41" s="23"/>
    </row>
    <row r="42" spans="1:13" ht="10.5" customHeight="1">
      <c r="A42" s="36"/>
      <c r="F42" s="15"/>
      <c r="G42" s="22"/>
      <c r="H42" s="22"/>
      <c r="I42" s="7"/>
      <c r="J42" s="7"/>
      <c r="K42" s="7"/>
      <c r="M42" s="23"/>
    </row>
    <row r="43" spans="6:13" ht="10.5" customHeight="1">
      <c r="F43" s="15"/>
      <c r="G43" s="22"/>
      <c r="H43" s="22"/>
      <c r="I43" s="7"/>
      <c r="J43" s="7"/>
      <c r="K43" s="7"/>
      <c r="M43" s="23"/>
    </row>
    <row r="44" spans="6:13" ht="10.5" customHeight="1">
      <c r="F44" s="15"/>
      <c r="G44" s="22"/>
      <c r="H44" s="22"/>
      <c r="I44" s="7"/>
      <c r="J44" s="7"/>
      <c r="K44" s="7"/>
      <c r="M44" s="23"/>
    </row>
    <row r="45" spans="6:13" ht="10.5" customHeight="1">
      <c r="F45" s="15"/>
      <c r="G45" s="22"/>
      <c r="H45" s="22"/>
      <c r="I45" s="7"/>
      <c r="J45" s="7"/>
      <c r="K45" s="7"/>
      <c r="M45" s="23"/>
    </row>
    <row r="46" spans="6:13" ht="10.5" customHeight="1">
      <c r="F46" s="15"/>
      <c r="G46" s="22"/>
      <c r="H46" s="22"/>
      <c r="I46" s="7"/>
      <c r="J46" s="7"/>
      <c r="K46" s="7"/>
      <c r="M46" s="23"/>
    </row>
    <row r="47" spans="6:13" ht="10.5" customHeight="1">
      <c r="F47" s="15"/>
      <c r="G47" s="22"/>
      <c r="H47" s="22"/>
      <c r="I47" s="7"/>
      <c r="J47" s="7"/>
      <c r="K47" s="7"/>
      <c r="M47" s="23"/>
    </row>
    <row r="48" spans="6:13" ht="10.5" customHeight="1">
      <c r="F48" s="15"/>
      <c r="G48" s="22"/>
      <c r="H48" s="22"/>
      <c r="I48" s="7"/>
      <c r="J48" s="7"/>
      <c r="K48" s="7"/>
      <c r="M48" s="23"/>
    </row>
    <row r="49" spans="6:13" ht="10.5" customHeight="1">
      <c r="F49" s="15"/>
      <c r="G49" s="22"/>
      <c r="H49" s="22"/>
      <c r="I49" s="7"/>
      <c r="J49" s="7"/>
      <c r="K49" s="7"/>
      <c r="M49" s="23"/>
    </row>
    <row r="50" spans="6:13" ht="10.5" customHeight="1">
      <c r="F50" s="15"/>
      <c r="G50" s="22"/>
      <c r="H50" s="22"/>
      <c r="I50" s="7"/>
      <c r="J50" s="7"/>
      <c r="K50" s="7"/>
      <c r="M50" s="23"/>
    </row>
    <row r="51" spans="2:13" ht="10.5" customHeight="1">
      <c r="B51" s="20"/>
      <c r="C51" s="20"/>
      <c r="F51" s="15"/>
      <c r="G51" s="22"/>
      <c r="H51" s="22"/>
      <c r="I51" s="7"/>
      <c r="K51" s="7"/>
      <c r="M51" s="23"/>
    </row>
    <row r="52" spans="2:13" ht="10.5" customHeight="1">
      <c r="B52" s="20"/>
      <c r="C52" s="20"/>
      <c r="F52" s="15"/>
      <c r="G52" s="22"/>
      <c r="H52" s="22"/>
      <c r="I52" s="7"/>
      <c r="K52" s="7"/>
      <c r="M52" s="23"/>
    </row>
    <row r="53" spans="2:13" ht="10.5" customHeight="1">
      <c r="B53" s="20"/>
      <c r="C53" s="20"/>
      <c r="F53" s="15"/>
      <c r="G53" s="22"/>
      <c r="H53" s="22"/>
      <c r="I53" s="7"/>
      <c r="K53" s="7"/>
      <c r="M53" s="23"/>
    </row>
    <row r="54" spans="6:13" ht="10.5" customHeight="1">
      <c r="F54" s="15"/>
      <c r="G54" s="22"/>
      <c r="H54" s="22"/>
      <c r="I54" s="7"/>
      <c r="K54" s="7"/>
      <c r="M54" s="23"/>
    </row>
    <row r="55" spans="6:13" ht="10.5" customHeight="1">
      <c r="F55" s="15"/>
      <c r="G55" s="22"/>
      <c r="H55" s="22"/>
      <c r="I55" s="7"/>
      <c r="K55" s="7"/>
      <c r="M55" s="23"/>
    </row>
    <row r="56" spans="6:13" ht="10.5" customHeight="1">
      <c r="F56" s="15"/>
      <c r="G56" s="22"/>
      <c r="H56" s="22"/>
      <c r="I56" s="7"/>
      <c r="K56" s="7"/>
      <c r="M56" s="23"/>
    </row>
    <row r="57" spans="6:13" ht="10.5" customHeight="1">
      <c r="F57" s="15"/>
      <c r="G57" s="22"/>
      <c r="H57" s="22"/>
      <c r="I57" s="7"/>
      <c r="K57" s="7"/>
      <c r="M57" s="23"/>
    </row>
    <row r="58" spans="6:13" ht="10.5" customHeight="1">
      <c r="F58" s="15"/>
      <c r="G58" s="22"/>
      <c r="H58" s="22"/>
      <c r="I58" s="7"/>
      <c r="K58" s="7"/>
      <c r="M58" s="23"/>
    </row>
    <row r="59" spans="6:13" ht="10.5" customHeight="1">
      <c r="F59" s="15"/>
      <c r="G59" s="22"/>
      <c r="H59" s="22"/>
      <c r="I59" s="7"/>
      <c r="K59" s="7"/>
      <c r="M59" s="23"/>
    </row>
    <row r="60" spans="6:13" ht="10.5" customHeight="1">
      <c r="F60" s="15"/>
      <c r="G60" s="22"/>
      <c r="H60" s="22"/>
      <c r="I60" s="7"/>
      <c r="K60" s="7"/>
      <c r="M60" s="23"/>
    </row>
    <row r="61" spans="6:13" ht="10.5" customHeight="1">
      <c r="F61" s="15"/>
      <c r="G61" s="22"/>
      <c r="H61" s="22"/>
      <c r="I61" s="7"/>
      <c r="K61" s="7"/>
      <c r="M61" s="23"/>
    </row>
    <row r="62" spans="7:13" ht="10.5" customHeight="1">
      <c r="G62" s="22"/>
      <c r="H62" s="22"/>
      <c r="M62" s="23"/>
    </row>
    <row r="63" ht="10.5" customHeight="1">
      <c r="M63" s="23"/>
    </row>
    <row r="64" spans="11:13" ht="10.5" customHeight="1">
      <c r="K64" s="7"/>
      <c r="M64" s="23"/>
    </row>
    <row r="65" ht="10.5" customHeight="1">
      <c r="M65" s="23"/>
    </row>
    <row r="66" spans="11:13" ht="10.5" customHeight="1">
      <c r="K66" s="30"/>
      <c r="M66" s="2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1">
      <selection activeCell="A1" sqref="A1:IV16384"/>
    </sheetView>
  </sheetViews>
  <sheetFormatPr defaultColWidth="10.421875" defaultRowHeight="12.75"/>
  <cols>
    <col min="1" max="1" width="7.421875" style="4" customWidth="1"/>
    <col min="2" max="2" width="16.00390625" style="26" customWidth="1"/>
    <col min="3" max="3" width="5.140625" style="26" bestFit="1" customWidth="1"/>
    <col min="4" max="4" width="14.00390625" style="21" customWidth="1"/>
    <col min="5" max="5" width="6.8515625" style="21" customWidth="1"/>
    <col min="6" max="6" width="7.421875" style="27" bestFit="1" customWidth="1"/>
    <col min="7" max="7" width="7.57421875" style="15" customWidth="1"/>
    <col min="8" max="8" width="7.140625" style="15" customWidth="1"/>
    <col min="9" max="9" width="7.7109375" style="28" bestFit="1" customWidth="1"/>
    <col min="10" max="10" width="2.28125" style="29" customWidth="1"/>
    <col min="11" max="11" width="5.421875" style="28" customWidth="1"/>
    <col min="12" max="12" width="6.57421875" style="22" hidden="1" customWidth="1"/>
    <col min="13" max="13" width="10.7109375" style="21" hidden="1" customWidth="1"/>
    <col min="14" max="14" width="10.00390625" style="24" bestFit="1" customWidth="1"/>
    <col min="15" max="15" width="8.00390625" style="24" customWidth="1"/>
    <col min="16" max="16" width="8.57421875" style="24" customWidth="1"/>
    <col min="17" max="16384" width="10.421875" style="21" customWidth="1"/>
  </cols>
  <sheetData>
    <row r="1" spans="1:15" s="4" customFormat="1" ht="12" customHeight="1">
      <c r="A1" s="1" t="s">
        <v>45</v>
      </c>
      <c r="B1" s="2"/>
      <c r="C1" s="2"/>
      <c r="D1" s="3"/>
      <c r="F1" s="5"/>
      <c r="I1" s="6"/>
      <c r="J1" s="7"/>
      <c r="K1" s="8"/>
      <c r="M1" s="9" t="s">
        <v>0</v>
      </c>
      <c r="O1" s="10"/>
    </row>
    <row r="2" spans="1:15" s="4" customFormat="1" ht="12" customHeight="1">
      <c r="A2" s="1"/>
      <c r="B2" s="2"/>
      <c r="C2" s="2"/>
      <c r="D2" s="3"/>
      <c r="F2" s="5"/>
      <c r="I2" s="6"/>
      <c r="J2" s="7"/>
      <c r="K2" s="8"/>
      <c r="M2" s="9"/>
      <c r="O2" s="10"/>
    </row>
    <row r="3" spans="1:17" s="4" customFormat="1" ht="56.25">
      <c r="A3" s="11" t="s">
        <v>22</v>
      </c>
      <c r="B3" s="3" t="s">
        <v>3</v>
      </c>
      <c r="C3" s="3" t="s">
        <v>2</v>
      </c>
      <c r="D3" s="10" t="s">
        <v>4</v>
      </c>
      <c r="E3" s="10" t="s">
        <v>5</v>
      </c>
      <c r="F3" s="12" t="s">
        <v>6</v>
      </c>
      <c r="G3" s="13" t="s">
        <v>7</v>
      </c>
      <c r="H3" s="13" t="s">
        <v>8</v>
      </c>
      <c r="I3" s="14" t="s">
        <v>32</v>
      </c>
      <c r="J3" s="15"/>
      <c r="K3" s="13" t="s">
        <v>20</v>
      </c>
      <c r="L3" s="13"/>
      <c r="M3" s="9"/>
      <c r="N3" s="16" t="s">
        <v>9</v>
      </c>
      <c r="O3" s="17" t="s">
        <v>10</v>
      </c>
      <c r="P3" s="16" t="s">
        <v>11</v>
      </c>
      <c r="Q3" s="18"/>
    </row>
    <row r="4" spans="1:16" s="4" customFormat="1" ht="11.25">
      <c r="A4" s="19"/>
      <c r="B4" s="3"/>
      <c r="C4" s="3"/>
      <c r="D4" s="10"/>
      <c r="E4" s="10"/>
      <c r="F4" s="12"/>
      <c r="G4" s="13"/>
      <c r="H4" s="13"/>
      <c r="I4" s="14"/>
      <c r="J4" s="15"/>
      <c r="K4" s="14"/>
      <c r="L4" s="13"/>
      <c r="M4" s="9"/>
      <c r="N4" s="16"/>
      <c r="O4" s="17"/>
      <c r="P4" s="16"/>
    </row>
    <row r="5" spans="1:17" ht="10.5" customHeight="1">
      <c r="A5" s="4" t="s">
        <v>15</v>
      </c>
      <c r="B5" s="20" t="s">
        <v>26</v>
      </c>
      <c r="C5" s="20" t="s">
        <v>29</v>
      </c>
      <c r="D5" s="21" t="s">
        <v>1</v>
      </c>
      <c r="F5" s="15">
        <f>547077+10000+5340+12000+12000+5160+3100</f>
        <v>594677</v>
      </c>
      <c r="G5" s="22">
        <f aca="true" t="shared" si="0" ref="G5:G10">F5-(F5/1.12)</f>
        <v>63715.39285714296</v>
      </c>
      <c r="H5" s="22">
        <f aca="true" t="shared" si="1" ref="H5:H11">K5*132</f>
        <v>0</v>
      </c>
      <c r="I5" s="7">
        <f aca="true" t="shared" si="2" ref="I5:I10">F5/12</f>
        <v>49556.416666666664</v>
      </c>
      <c r="J5" s="7"/>
      <c r="K5" s="7">
        <v>0</v>
      </c>
      <c r="L5" s="22">
        <f aca="true" t="shared" si="3" ref="L5:L10">K5*146</f>
        <v>0</v>
      </c>
      <c r="M5" s="23">
        <f aca="true" t="shared" si="4" ref="M5:M11">(F5-L5)/12</f>
        <v>49556.416666666664</v>
      </c>
      <c r="N5" s="24">
        <f aca="true" t="shared" si="5" ref="N5:N11">F5/1752</f>
        <v>339.4275114155251</v>
      </c>
      <c r="O5" s="24">
        <f aca="true" t="shared" si="6" ref="O5:O10">N5*1.65</f>
        <v>560.0553938356163</v>
      </c>
      <c r="P5" s="24">
        <f aca="true" t="shared" si="7" ref="P5:P11">(F5-(783*146))/1950</f>
        <v>246.3379487179487</v>
      </c>
      <c r="Q5" s="25"/>
    </row>
    <row r="6" spans="1:17" ht="10.5" customHeight="1">
      <c r="A6" s="4" t="s">
        <v>16</v>
      </c>
      <c r="F6" s="15">
        <f>559593+10000+5340+12000+12000+5160+3100</f>
        <v>607193</v>
      </c>
      <c r="G6" s="22">
        <f t="shared" si="0"/>
        <v>65056.39285714296</v>
      </c>
      <c r="H6" s="22">
        <f t="shared" si="1"/>
        <v>0</v>
      </c>
      <c r="I6" s="7">
        <f t="shared" si="2"/>
        <v>50599.416666666664</v>
      </c>
      <c r="J6" s="7"/>
      <c r="K6" s="7">
        <v>0</v>
      </c>
      <c r="L6" s="22">
        <f t="shared" si="3"/>
        <v>0</v>
      </c>
      <c r="M6" s="23">
        <f t="shared" si="4"/>
        <v>50599.416666666664</v>
      </c>
      <c r="N6" s="24">
        <f t="shared" si="5"/>
        <v>346.57134703196346</v>
      </c>
      <c r="O6" s="24">
        <f t="shared" si="6"/>
        <v>571.8427226027396</v>
      </c>
      <c r="P6" s="24">
        <f t="shared" si="7"/>
        <v>252.75641025641025</v>
      </c>
      <c r="Q6" s="25"/>
    </row>
    <row r="7" spans="1:17" ht="10.5" customHeight="1">
      <c r="A7" s="4" t="s">
        <v>17</v>
      </c>
      <c r="B7" s="21"/>
      <c r="C7" s="21"/>
      <c r="F7" s="15">
        <f>572108+10000+5340+12000+12000+5160+3100</f>
        <v>619708</v>
      </c>
      <c r="G7" s="22">
        <f t="shared" si="0"/>
        <v>66397.2857142858</v>
      </c>
      <c r="H7" s="22">
        <f t="shared" si="1"/>
        <v>0</v>
      </c>
      <c r="I7" s="7">
        <f t="shared" si="2"/>
        <v>51642.333333333336</v>
      </c>
      <c r="J7" s="7"/>
      <c r="K7" s="7">
        <v>0</v>
      </c>
      <c r="L7" s="22">
        <f t="shared" si="3"/>
        <v>0</v>
      </c>
      <c r="M7" s="23">
        <f t="shared" si="4"/>
        <v>51642.333333333336</v>
      </c>
      <c r="N7" s="24">
        <f t="shared" si="5"/>
        <v>353.7146118721461</v>
      </c>
      <c r="O7" s="24">
        <f t="shared" si="6"/>
        <v>583.629109589041</v>
      </c>
      <c r="P7" s="24">
        <f t="shared" si="7"/>
        <v>259.174358974359</v>
      </c>
      <c r="Q7" s="25"/>
    </row>
    <row r="8" spans="1:17" ht="10.5" customHeight="1">
      <c r="A8" s="4" t="s">
        <v>18</v>
      </c>
      <c r="B8" s="20" t="s">
        <v>35</v>
      </c>
      <c r="C8" s="20" t="s">
        <v>28</v>
      </c>
      <c r="D8" s="21" t="s">
        <v>31</v>
      </c>
      <c r="F8" s="15">
        <f>584625+10000+5340+12000+12000+5160+3100</f>
        <v>632225</v>
      </c>
      <c r="G8" s="22">
        <f t="shared" si="0"/>
        <v>67738.39285714296</v>
      </c>
      <c r="H8" s="22">
        <f t="shared" si="1"/>
        <v>0</v>
      </c>
      <c r="I8" s="7">
        <f t="shared" si="2"/>
        <v>52685.416666666664</v>
      </c>
      <c r="J8" s="7"/>
      <c r="K8" s="7">
        <v>0</v>
      </c>
      <c r="L8" s="22">
        <f t="shared" si="3"/>
        <v>0</v>
      </c>
      <c r="M8" s="23">
        <f t="shared" si="4"/>
        <v>52685.416666666664</v>
      </c>
      <c r="N8" s="24">
        <f t="shared" si="5"/>
        <v>360.8590182648402</v>
      </c>
      <c r="O8" s="24">
        <f t="shared" si="6"/>
        <v>595.4173801369863</v>
      </c>
      <c r="P8" s="24">
        <f t="shared" si="7"/>
        <v>265.5933333333333</v>
      </c>
      <c r="Q8" s="25"/>
    </row>
    <row r="9" spans="1:17" ht="10.5" customHeight="1">
      <c r="A9" s="4" t="s">
        <v>19</v>
      </c>
      <c r="F9" s="15">
        <f>601031+10000+5340+12000+12000+5160+3100</f>
        <v>648631</v>
      </c>
      <c r="G9" s="22">
        <f t="shared" si="0"/>
        <v>69496.17857142864</v>
      </c>
      <c r="H9" s="22">
        <f t="shared" si="1"/>
        <v>0</v>
      </c>
      <c r="I9" s="7">
        <f t="shared" si="2"/>
        <v>54052.583333333336</v>
      </c>
      <c r="J9" s="7"/>
      <c r="K9" s="7">
        <v>0</v>
      </c>
      <c r="L9" s="22">
        <f t="shared" si="3"/>
        <v>0</v>
      </c>
      <c r="M9" s="23">
        <f t="shared" si="4"/>
        <v>54052.583333333336</v>
      </c>
      <c r="N9" s="24">
        <f t="shared" si="5"/>
        <v>370.2231735159817</v>
      </c>
      <c r="O9" s="24">
        <f t="shared" si="6"/>
        <v>610.8682363013698</v>
      </c>
      <c r="P9" s="24">
        <f t="shared" si="7"/>
        <v>274.00666666666666</v>
      </c>
      <c r="Q9" s="25"/>
    </row>
    <row r="10" spans="1:17" ht="10.5" customHeight="1">
      <c r="A10" s="4" t="s">
        <v>23</v>
      </c>
      <c r="F10" s="15">
        <f>616879+10000+5340+12000+12000+5160+3100</f>
        <v>664479</v>
      </c>
      <c r="G10" s="22">
        <f t="shared" si="0"/>
        <v>71194.17857142864</v>
      </c>
      <c r="H10" s="22">
        <f t="shared" si="1"/>
        <v>0</v>
      </c>
      <c r="I10" s="7">
        <f t="shared" si="2"/>
        <v>55373.25</v>
      </c>
      <c r="J10" s="7"/>
      <c r="K10" s="7">
        <v>0</v>
      </c>
      <c r="L10" s="22">
        <f t="shared" si="3"/>
        <v>0</v>
      </c>
      <c r="M10" s="23">
        <f t="shared" si="4"/>
        <v>55373.25</v>
      </c>
      <c r="N10" s="24">
        <f t="shared" si="5"/>
        <v>379.26883561643837</v>
      </c>
      <c r="O10" s="24">
        <f t="shared" si="6"/>
        <v>625.7935787671232</v>
      </c>
      <c r="P10" s="24">
        <f t="shared" si="7"/>
        <v>282.13384615384615</v>
      </c>
      <c r="Q10" s="25"/>
    </row>
    <row r="11" spans="1:17" ht="10.5" customHeight="1">
      <c r="A11" s="4" t="s">
        <v>37</v>
      </c>
      <c r="F11" s="15">
        <f>629379+10000+6340+12000+12000+5160+3100</f>
        <v>677979</v>
      </c>
      <c r="G11" s="22">
        <f>F11-(F11/1.12)</f>
        <v>72640.60714285716</v>
      </c>
      <c r="H11" s="22">
        <f t="shared" si="1"/>
        <v>0</v>
      </c>
      <c r="I11" s="7">
        <f>F11/12</f>
        <v>56498.25</v>
      </c>
      <c r="J11" s="7"/>
      <c r="K11" s="7">
        <v>0</v>
      </c>
      <c r="L11" s="22">
        <f>K11*146</f>
        <v>0</v>
      </c>
      <c r="M11" s="23">
        <f t="shared" si="4"/>
        <v>56498.25</v>
      </c>
      <c r="N11" s="24">
        <f t="shared" si="5"/>
        <v>386.9743150684931</v>
      </c>
      <c r="O11" s="24">
        <f>N11*1.65</f>
        <v>638.5076198630136</v>
      </c>
      <c r="P11" s="24">
        <f t="shared" si="7"/>
        <v>289.05692307692306</v>
      </c>
      <c r="Q11" s="25"/>
    </row>
    <row r="12" spans="11:13" ht="10.5" customHeight="1">
      <c r="K12" s="7">
        <v>0</v>
      </c>
      <c r="M12" s="23"/>
    </row>
    <row r="13" ht="10.5" customHeight="1">
      <c r="M13" s="23"/>
    </row>
    <row r="14" ht="10.5" customHeight="1">
      <c r="M14" s="23"/>
    </row>
    <row r="15" ht="10.5" customHeight="1">
      <c r="M15" s="23"/>
    </row>
    <row r="16" ht="10.5" customHeight="1">
      <c r="M16" s="23"/>
    </row>
    <row r="17" ht="10.5" customHeight="1">
      <c r="M17" s="23"/>
    </row>
    <row r="18" ht="10.5" customHeight="1">
      <c r="M18" s="23"/>
    </row>
    <row r="19" ht="10.5" customHeight="1">
      <c r="M19" s="23"/>
    </row>
    <row r="20" ht="10.5" customHeight="1">
      <c r="M20" s="23"/>
    </row>
    <row r="21" ht="10.5" customHeight="1">
      <c r="M21" s="23"/>
    </row>
    <row r="22" ht="10.5" customHeight="1">
      <c r="M22" s="23"/>
    </row>
    <row r="23" spans="11:13" ht="10.5" customHeight="1">
      <c r="K23" s="30"/>
      <c r="M23" s="23"/>
    </row>
    <row r="24" ht="12" customHeight="1"/>
    <row r="25" spans="1:15" s="4" customFormat="1" ht="12" customHeight="1">
      <c r="A25" s="1"/>
      <c r="B25" s="2"/>
      <c r="C25" s="2"/>
      <c r="D25" s="3"/>
      <c r="F25" s="5"/>
      <c r="I25" s="6"/>
      <c r="J25" s="7"/>
      <c r="K25" s="8"/>
      <c r="M25" s="9"/>
      <c r="O25" s="10"/>
    </row>
    <row r="26" spans="1:15" s="4" customFormat="1" ht="12" customHeight="1">
      <c r="A26" s="1"/>
      <c r="B26" s="2"/>
      <c r="C26" s="2"/>
      <c r="D26" s="3"/>
      <c r="F26" s="5"/>
      <c r="I26" s="6"/>
      <c r="J26" s="7"/>
      <c r="K26" s="8"/>
      <c r="M26" s="9"/>
      <c r="O26" s="10"/>
    </row>
    <row r="27" spans="1:13" ht="10.5" customHeight="1">
      <c r="A27" s="9"/>
      <c r="D27" s="26"/>
      <c r="F27" s="15"/>
      <c r="G27" s="22"/>
      <c r="H27" s="22"/>
      <c r="I27" s="7"/>
      <c r="J27" s="7"/>
      <c r="K27" s="7"/>
      <c r="M27" s="23"/>
    </row>
    <row r="28" spans="1:13" ht="10.5" customHeight="1">
      <c r="A28" s="9"/>
      <c r="D28" s="26"/>
      <c r="F28" s="15"/>
      <c r="G28" s="22"/>
      <c r="H28" s="22"/>
      <c r="I28" s="7"/>
      <c r="J28" s="7"/>
      <c r="K28" s="7"/>
      <c r="M28" s="23"/>
    </row>
    <row r="29" spans="1:13" ht="10.5" customHeight="1">
      <c r="A29" s="9"/>
      <c r="F29" s="15"/>
      <c r="G29" s="22"/>
      <c r="H29" s="22"/>
      <c r="I29" s="7"/>
      <c r="J29" s="7"/>
      <c r="K29" s="7"/>
      <c r="M29" s="23"/>
    </row>
    <row r="30" spans="1:13" ht="10.5" customHeight="1">
      <c r="A30" s="9"/>
      <c r="F30" s="15"/>
      <c r="G30" s="22"/>
      <c r="H30" s="22"/>
      <c r="I30" s="7"/>
      <c r="J30" s="7"/>
      <c r="K30" s="7"/>
      <c r="M30" s="23"/>
    </row>
    <row r="31" spans="1:13" ht="10.5" customHeight="1">
      <c r="A31" s="9"/>
      <c r="F31" s="15"/>
      <c r="G31" s="22"/>
      <c r="H31" s="22"/>
      <c r="I31" s="7"/>
      <c r="J31" s="7"/>
      <c r="K31" s="7"/>
      <c r="M31" s="23"/>
    </row>
    <row r="32" spans="1:13" ht="10.5" customHeight="1">
      <c r="A32" s="9"/>
      <c r="F32" s="15"/>
      <c r="G32" s="22"/>
      <c r="H32" s="22"/>
      <c r="I32" s="7"/>
      <c r="J32" s="7"/>
      <c r="K32" s="7"/>
      <c r="M32" s="23"/>
    </row>
    <row r="33" spans="1:13" ht="10.5" customHeight="1">
      <c r="A33" s="9"/>
      <c r="F33" s="15"/>
      <c r="G33" s="22"/>
      <c r="H33" s="22"/>
      <c r="I33" s="7"/>
      <c r="J33" s="7"/>
      <c r="K33" s="7"/>
      <c r="M33" s="23"/>
    </row>
    <row r="34" spans="1:13" ht="10.5" customHeight="1">
      <c r="A34" s="9"/>
      <c r="F34" s="15"/>
      <c r="G34" s="22"/>
      <c r="H34" s="22"/>
      <c r="I34" s="7"/>
      <c r="J34" s="7"/>
      <c r="K34" s="7"/>
      <c r="M34" s="23"/>
    </row>
    <row r="35" spans="1:13" ht="10.5" customHeight="1">
      <c r="A35" s="9"/>
      <c r="F35" s="15"/>
      <c r="G35" s="22"/>
      <c r="H35" s="22"/>
      <c r="I35" s="7"/>
      <c r="J35" s="7"/>
      <c r="K35" s="7"/>
      <c r="M35" s="23"/>
    </row>
    <row r="36" spans="1:13" ht="10.5" customHeight="1">
      <c r="A36" s="9"/>
      <c r="F36" s="15"/>
      <c r="G36" s="22"/>
      <c r="H36" s="22"/>
      <c r="I36" s="7"/>
      <c r="J36" s="7"/>
      <c r="K36" s="7"/>
      <c r="M36" s="23"/>
    </row>
    <row r="37" spans="1:13" ht="10.5" customHeight="1">
      <c r="A37" s="9"/>
      <c r="F37" s="15"/>
      <c r="G37" s="22"/>
      <c r="H37" s="22"/>
      <c r="I37" s="7"/>
      <c r="J37" s="7"/>
      <c r="K37" s="7"/>
      <c r="M37" s="23"/>
    </row>
    <row r="38" spans="1:15" ht="10.5" customHeight="1">
      <c r="A38" s="9"/>
      <c r="F38" s="4"/>
      <c r="G38" s="22"/>
      <c r="H38" s="22"/>
      <c r="I38" s="7"/>
      <c r="J38" s="31"/>
      <c r="K38" s="31"/>
      <c r="L38" s="32"/>
      <c r="M38" s="33"/>
      <c r="N38" s="34"/>
      <c r="O38" s="35"/>
    </row>
    <row r="39" spans="1:13" ht="10.5" customHeight="1">
      <c r="A39" s="36"/>
      <c r="F39" s="15"/>
      <c r="G39" s="22"/>
      <c r="H39" s="22"/>
      <c r="I39" s="7"/>
      <c r="J39" s="7"/>
      <c r="K39" s="7"/>
      <c r="M39" s="23"/>
    </row>
    <row r="40" spans="1:13" ht="10.5" customHeight="1">
      <c r="A40" s="36"/>
      <c r="F40" s="15"/>
      <c r="G40" s="22"/>
      <c r="H40" s="22"/>
      <c r="I40" s="7"/>
      <c r="J40" s="7"/>
      <c r="K40" s="7"/>
      <c r="M40" s="23"/>
    </row>
    <row r="41" spans="1:13" ht="10.5" customHeight="1">
      <c r="A41" s="36"/>
      <c r="F41" s="15"/>
      <c r="G41" s="22"/>
      <c r="H41" s="22"/>
      <c r="I41" s="7"/>
      <c r="J41" s="7"/>
      <c r="K41" s="7"/>
      <c r="M41" s="23"/>
    </row>
    <row r="42" spans="1:13" ht="10.5" customHeight="1">
      <c r="A42" s="36"/>
      <c r="F42" s="15"/>
      <c r="G42" s="22"/>
      <c r="H42" s="22"/>
      <c r="I42" s="7"/>
      <c r="J42" s="7"/>
      <c r="K42" s="7"/>
      <c r="M42" s="23"/>
    </row>
    <row r="43" spans="6:13" ht="10.5" customHeight="1">
      <c r="F43" s="15"/>
      <c r="G43" s="22"/>
      <c r="H43" s="22"/>
      <c r="I43" s="7"/>
      <c r="J43" s="7"/>
      <c r="K43" s="7"/>
      <c r="M43" s="23"/>
    </row>
    <row r="44" spans="6:13" ht="10.5" customHeight="1">
      <c r="F44" s="15"/>
      <c r="G44" s="22"/>
      <c r="H44" s="22"/>
      <c r="I44" s="7"/>
      <c r="J44" s="7"/>
      <c r="K44" s="7"/>
      <c r="M44" s="23"/>
    </row>
    <row r="45" spans="6:13" ht="10.5" customHeight="1">
      <c r="F45" s="15"/>
      <c r="G45" s="22"/>
      <c r="H45" s="22"/>
      <c r="I45" s="7"/>
      <c r="J45" s="7"/>
      <c r="K45" s="7"/>
      <c r="M45" s="23"/>
    </row>
    <row r="46" spans="6:13" ht="10.5" customHeight="1">
      <c r="F46" s="15"/>
      <c r="G46" s="22"/>
      <c r="H46" s="22"/>
      <c r="I46" s="7"/>
      <c r="J46" s="7"/>
      <c r="K46" s="7"/>
      <c r="M46" s="23"/>
    </row>
    <row r="47" spans="6:13" ht="10.5" customHeight="1">
      <c r="F47" s="15"/>
      <c r="G47" s="22"/>
      <c r="H47" s="22"/>
      <c r="I47" s="7"/>
      <c r="J47" s="7"/>
      <c r="K47" s="7"/>
      <c r="M47" s="23"/>
    </row>
    <row r="48" spans="6:13" ht="10.5" customHeight="1">
      <c r="F48" s="15"/>
      <c r="G48" s="22"/>
      <c r="H48" s="22"/>
      <c r="I48" s="7"/>
      <c r="J48" s="7"/>
      <c r="K48" s="7"/>
      <c r="M48" s="23"/>
    </row>
    <row r="49" spans="6:13" ht="10.5" customHeight="1">
      <c r="F49" s="15"/>
      <c r="G49" s="22"/>
      <c r="H49" s="22"/>
      <c r="I49" s="7"/>
      <c r="J49" s="7"/>
      <c r="K49" s="7"/>
      <c r="M49" s="23"/>
    </row>
    <row r="50" spans="6:13" ht="10.5" customHeight="1">
      <c r="F50" s="15"/>
      <c r="G50" s="22"/>
      <c r="H50" s="22"/>
      <c r="I50" s="7"/>
      <c r="J50" s="7"/>
      <c r="K50" s="7"/>
      <c r="M50" s="23"/>
    </row>
    <row r="51" spans="2:13" ht="10.5" customHeight="1">
      <c r="B51" s="20"/>
      <c r="C51" s="20"/>
      <c r="F51" s="15"/>
      <c r="G51" s="22"/>
      <c r="H51" s="22"/>
      <c r="I51" s="7"/>
      <c r="K51" s="7"/>
      <c r="M51" s="23"/>
    </row>
    <row r="52" spans="2:13" ht="10.5" customHeight="1">
      <c r="B52" s="20"/>
      <c r="C52" s="20"/>
      <c r="F52" s="15"/>
      <c r="G52" s="22"/>
      <c r="H52" s="22"/>
      <c r="I52" s="7"/>
      <c r="K52" s="7"/>
      <c r="M52" s="23"/>
    </row>
    <row r="53" spans="2:13" ht="10.5" customHeight="1">
      <c r="B53" s="20"/>
      <c r="C53" s="20"/>
      <c r="F53" s="15"/>
      <c r="G53" s="22"/>
      <c r="H53" s="22"/>
      <c r="I53" s="7"/>
      <c r="K53" s="7"/>
      <c r="M53" s="23"/>
    </row>
    <row r="54" spans="6:13" ht="10.5" customHeight="1">
      <c r="F54" s="15"/>
      <c r="G54" s="22"/>
      <c r="H54" s="22"/>
      <c r="I54" s="7"/>
      <c r="K54" s="7"/>
      <c r="M54" s="23"/>
    </row>
    <row r="55" spans="6:13" ht="10.5" customHeight="1">
      <c r="F55" s="15"/>
      <c r="G55" s="22"/>
      <c r="H55" s="22"/>
      <c r="I55" s="7"/>
      <c r="K55" s="7"/>
      <c r="M55" s="23"/>
    </row>
    <row r="56" spans="6:13" ht="10.5" customHeight="1">
      <c r="F56" s="15"/>
      <c r="G56" s="22"/>
      <c r="H56" s="22"/>
      <c r="I56" s="7"/>
      <c r="K56" s="7"/>
      <c r="M56" s="23"/>
    </row>
    <row r="57" spans="6:13" ht="10.5" customHeight="1">
      <c r="F57" s="15"/>
      <c r="G57" s="22"/>
      <c r="H57" s="22"/>
      <c r="I57" s="7"/>
      <c r="K57" s="7"/>
      <c r="M57" s="23"/>
    </row>
    <row r="58" spans="6:13" ht="10.5" customHeight="1">
      <c r="F58" s="15"/>
      <c r="G58" s="22"/>
      <c r="H58" s="22"/>
      <c r="I58" s="7"/>
      <c r="K58" s="7"/>
      <c r="M58" s="23"/>
    </row>
    <row r="59" spans="6:13" ht="10.5" customHeight="1">
      <c r="F59" s="15"/>
      <c r="G59" s="22"/>
      <c r="H59" s="22"/>
      <c r="I59" s="7"/>
      <c r="K59" s="7"/>
      <c r="M59" s="23"/>
    </row>
    <row r="60" spans="6:13" ht="10.5" customHeight="1">
      <c r="F60" s="15"/>
      <c r="G60" s="22"/>
      <c r="H60" s="22"/>
      <c r="I60" s="7"/>
      <c r="K60" s="7"/>
      <c r="M60" s="23"/>
    </row>
    <row r="61" spans="6:13" ht="10.5" customHeight="1">
      <c r="F61" s="15"/>
      <c r="G61" s="22"/>
      <c r="H61" s="22"/>
      <c r="I61" s="7"/>
      <c r="K61" s="7"/>
      <c r="M61" s="23"/>
    </row>
    <row r="62" spans="7:13" ht="10.5" customHeight="1">
      <c r="G62" s="22"/>
      <c r="H62" s="22"/>
      <c r="M62" s="23"/>
    </row>
    <row r="63" ht="10.5" customHeight="1">
      <c r="M63" s="23"/>
    </row>
    <row r="64" spans="11:13" ht="10.5" customHeight="1">
      <c r="K64" s="7"/>
      <c r="M64" s="23"/>
    </row>
    <row r="65" ht="10.5" customHeight="1">
      <c r="M65" s="23"/>
    </row>
    <row r="66" spans="11:13" ht="10.5" customHeight="1">
      <c r="K66" s="30"/>
      <c r="M66" s="2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1">
      <selection activeCell="A1" sqref="A1:IV16384"/>
    </sheetView>
  </sheetViews>
  <sheetFormatPr defaultColWidth="10.421875" defaultRowHeight="12.75"/>
  <cols>
    <col min="1" max="1" width="7.421875" style="4" customWidth="1"/>
    <col min="2" max="2" width="16.00390625" style="26" customWidth="1"/>
    <col min="3" max="3" width="5.140625" style="26" bestFit="1" customWidth="1"/>
    <col min="4" max="4" width="14.00390625" style="21" customWidth="1"/>
    <col min="5" max="5" width="6.8515625" style="21" customWidth="1"/>
    <col min="6" max="6" width="7.421875" style="27" bestFit="1" customWidth="1"/>
    <col min="7" max="7" width="7.57421875" style="15" customWidth="1"/>
    <col min="8" max="8" width="7.140625" style="15" customWidth="1"/>
    <col min="9" max="9" width="7.7109375" style="28" bestFit="1" customWidth="1"/>
    <col min="10" max="10" width="2.28125" style="29" customWidth="1"/>
    <col min="11" max="11" width="5.421875" style="28" customWidth="1"/>
    <col min="12" max="12" width="6.57421875" style="22" hidden="1" customWidth="1"/>
    <col min="13" max="13" width="10.7109375" style="21" hidden="1" customWidth="1"/>
    <col min="14" max="14" width="10.00390625" style="24" bestFit="1" customWidth="1"/>
    <col min="15" max="15" width="8.00390625" style="24" customWidth="1"/>
    <col min="16" max="16" width="8.57421875" style="24" customWidth="1"/>
    <col min="17" max="16384" width="10.421875" style="21" customWidth="1"/>
  </cols>
  <sheetData>
    <row r="1" spans="1:15" s="4" customFormat="1" ht="12" customHeight="1">
      <c r="A1" s="1" t="s">
        <v>46</v>
      </c>
      <c r="B1" s="2"/>
      <c r="C1" s="2"/>
      <c r="D1" s="3"/>
      <c r="F1" s="5"/>
      <c r="I1" s="6"/>
      <c r="J1" s="7"/>
      <c r="K1" s="8"/>
      <c r="M1" s="9" t="s">
        <v>0</v>
      </c>
      <c r="O1" s="10"/>
    </row>
    <row r="2" spans="1:15" s="4" customFormat="1" ht="12" customHeight="1">
      <c r="A2" s="1"/>
      <c r="B2" s="2"/>
      <c r="C2" s="2"/>
      <c r="D2" s="3"/>
      <c r="F2" s="5"/>
      <c r="I2" s="6"/>
      <c r="J2" s="7"/>
      <c r="K2" s="8"/>
      <c r="M2" s="9"/>
      <c r="O2" s="10"/>
    </row>
    <row r="3" spans="1:17" s="4" customFormat="1" ht="56.25">
      <c r="A3" s="11" t="s">
        <v>22</v>
      </c>
      <c r="B3" s="3" t="s">
        <v>3</v>
      </c>
      <c r="C3" s="3" t="s">
        <v>2</v>
      </c>
      <c r="D3" s="10" t="s">
        <v>4</v>
      </c>
      <c r="E3" s="10" t="s">
        <v>5</v>
      </c>
      <c r="F3" s="12" t="s">
        <v>6</v>
      </c>
      <c r="G3" s="13" t="s">
        <v>7</v>
      </c>
      <c r="H3" s="13" t="s">
        <v>8</v>
      </c>
      <c r="I3" s="14" t="s">
        <v>32</v>
      </c>
      <c r="J3" s="15"/>
      <c r="K3" s="13" t="s">
        <v>20</v>
      </c>
      <c r="L3" s="13"/>
      <c r="M3" s="9"/>
      <c r="N3" s="16" t="s">
        <v>9</v>
      </c>
      <c r="O3" s="17" t="s">
        <v>10</v>
      </c>
      <c r="P3" s="16" t="s">
        <v>11</v>
      </c>
      <c r="Q3" s="18"/>
    </row>
    <row r="4" spans="1:16" s="4" customFormat="1" ht="11.25">
      <c r="A4" s="19"/>
      <c r="B4" s="3"/>
      <c r="C4" s="3"/>
      <c r="D4" s="10"/>
      <c r="E4" s="10"/>
      <c r="F4" s="12"/>
      <c r="G4" s="13"/>
      <c r="H4" s="13"/>
      <c r="I4" s="14"/>
      <c r="J4" s="15"/>
      <c r="K4" s="14"/>
      <c r="L4" s="13"/>
      <c r="M4" s="9"/>
      <c r="N4" s="16"/>
      <c r="O4" s="17"/>
      <c r="P4" s="16"/>
    </row>
    <row r="5" spans="1:17" ht="10.5" customHeight="1">
      <c r="A5" s="4" t="s">
        <v>15</v>
      </c>
      <c r="B5" s="20" t="s">
        <v>26</v>
      </c>
      <c r="C5" s="20" t="s">
        <v>29</v>
      </c>
      <c r="D5" s="21" t="s">
        <v>1</v>
      </c>
      <c r="F5" s="15">
        <f>547077+10000+5340+12000+12000+5160+3100+9100</f>
        <v>603777</v>
      </c>
      <c r="G5" s="22">
        <f aca="true" t="shared" si="0" ref="G5:G10">F5-(F5/1.12)</f>
        <v>64690.39285714296</v>
      </c>
      <c r="H5" s="22">
        <f aca="true" t="shared" si="1" ref="H5:H11">K5*132</f>
        <v>0</v>
      </c>
      <c r="I5" s="7">
        <f aca="true" t="shared" si="2" ref="I5:I10">F5/12</f>
        <v>50314.75</v>
      </c>
      <c r="J5" s="7"/>
      <c r="K5" s="7">
        <v>0</v>
      </c>
      <c r="L5" s="22">
        <f aca="true" t="shared" si="3" ref="L5:L10">K5*146</f>
        <v>0</v>
      </c>
      <c r="M5" s="23">
        <f aca="true" t="shared" si="4" ref="M5:M11">(F5-L5)/12</f>
        <v>50314.75</v>
      </c>
      <c r="N5" s="24">
        <f aca="true" t="shared" si="5" ref="N5:N11">F5/1752</f>
        <v>344.62157534246575</v>
      </c>
      <c r="O5" s="24">
        <f aca="true" t="shared" si="6" ref="O5:O10">N5*1.65</f>
        <v>568.6255993150685</v>
      </c>
      <c r="P5" s="24">
        <f>(F5-(803*146))/1950</f>
        <v>249.50717948717949</v>
      </c>
      <c r="Q5" s="25"/>
    </row>
    <row r="6" spans="1:17" ht="10.5" customHeight="1">
      <c r="A6" s="4" t="s">
        <v>16</v>
      </c>
      <c r="F6" s="15">
        <f>559593+10000+5340+12000+12000+5160+3100+9100</f>
        <v>616293</v>
      </c>
      <c r="G6" s="22">
        <f t="shared" si="0"/>
        <v>66031.39285714296</v>
      </c>
      <c r="H6" s="22">
        <f t="shared" si="1"/>
        <v>0</v>
      </c>
      <c r="I6" s="7">
        <f t="shared" si="2"/>
        <v>51357.75</v>
      </c>
      <c r="J6" s="7"/>
      <c r="K6" s="7">
        <v>0</v>
      </c>
      <c r="L6" s="22">
        <f t="shared" si="3"/>
        <v>0</v>
      </c>
      <c r="M6" s="23">
        <f t="shared" si="4"/>
        <v>51357.75</v>
      </c>
      <c r="N6" s="24">
        <f t="shared" si="5"/>
        <v>351.7654109589041</v>
      </c>
      <c r="O6" s="24">
        <f t="shared" si="6"/>
        <v>580.4129280821918</v>
      </c>
      <c r="P6" s="24">
        <f aca="true" t="shared" si="7" ref="P6:P11">(F6-(803*146))/1950</f>
        <v>255.92564102564103</v>
      </c>
      <c r="Q6" s="25"/>
    </row>
    <row r="7" spans="1:17" ht="10.5" customHeight="1">
      <c r="A7" s="4" t="s">
        <v>17</v>
      </c>
      <c r="B7" s="21"/>
      <c r="C7" s="21"/>
      <c r="F7" s="15">
        <f>572108+10000+5340+12000+12000+5160+3100+9100</f>
        <v>628808</v>
      </c>
      <c r="G7" s="22">
        <f t="shared" si="0"/>
        <v>67372.2857142858</v>
      </c>
      <c r="H7" s="22">
        <f t="shared" si="1"/>
        <v>0</v>
      </c>
      <c r="I7" s="7">
        <f t="shared" si="2"/>
        <v>52400.666666666664</v>
      </c>
      <c r="J7" s="7"/>
      <c r="K7" s="7">
        <v>0</v>
      </c>
      <c r="L7" s="22">
        <f t="shared" si="3"/>
        <v>0</v>
      </c>
      <c r="M7" s="23">
        <f t="shared" si="4"/>
        <v>52400.666666666664</v>
      </c>
      <c r="N7" s="24">
        <f t="shared" si="5"/>
        <v>358.9086757990868</v>
      </c>
      <c r="O7" s="24">
        <f t="shared" si="6"/>
        <v>592.1993150684932</v>
      </c>
      <c r="P7" s="24">
        <f t="shared" si="7"/>
        <v>262.34358974358975</v>
      </c>
      <c r="Q7" s="25"/>
    </row>
    <row r="8" spans="1:17" ht="10.5" customHeight="1">
      <c r="A8" s="4" t="s">
        <v>18</v>
      </c>
      <c r="B8" s="20" t="s">
        <v>35</v>
      </c>
      <c r="C8" s="20" t="s">
        <v>28</v>
      </c>
      <c r="D8" s="21" t="s">
        <v>31</v>
      </c>
      <c r="F8" s="15">
        <f>584625+10000+5340+12000+12000+5160+3100+9100</f>
        <v>641325</v>
      </c>
      <c r="G8" s="22">
        <f t="shared" si="0"/>
        <v>68713.39285714296</v>
      </c>
      <c r="H8" s="22">
        <f t="shared" si="1"/>
        <v>0</v>
      </c>
      <c r="I8" s="7">
        <f t="shared" si="2"/>
        <v>53443.75</v>
      </c>
      <c r="J8" s="7"/>
      <c r="K8" s="7">
        <v>0</v>
      </c>
      <c r="L8" s="22">
        <f t="shared" si="3"/>
        <v>0</v>
      </c>
      <c r="M8" s="23">
        <f t="shared" si="4"/>
        <v>53443.75</v>
      </c>
      <c r="N8" s="24">
        <f t="shared" si="5"/>
        <v>366.05308219178085</v>
      </c>
      <c r="O8" s="24">
        <f t="shared" si="6"/>
        <v>603.9875856164383</v>
      </c>
      <c r="P8" s="24">
        <f t="shared" si="7"/>
        <v>268.7625641025641</v>
      </c>
      <c r="Q8" s="25"/>
    </row>
    <row r="9" spans="1:17" ht="10.5" customHeight="1">
      <c r="A9" s="4" t="s">
        <v>19</v>
      </c>
      <c r="F9" s="15">
        <f>601031+10000+5340+12000+12000+5160+3100+9100</f>
        <v>657731</v>
      </c>
      <c r="G9" s="22">
        <f t="shared" si="0"/>
        <v>70471.17857142864</v>
      </c>
      <c r="H9" s="22">
        <f t="shared" si="1"/>
        <v>0</v>
      </c>
      <c r="I9" s="7">
        <f t="shared" si="2"/>
        <v>54810.916666666664</v>
      </c>
      <c r="J9" s="7"/>
      <c r="K9" s="7">
        <v>0</v>
      </c>
      <c r="L9" s="22">
        <f t="shared" si="3"/>
        <v>0</v>
      </c>
      <c r="M9" s="23">
        <f t="shared" si="4"/>
        <v>54810.916666666664</v>
      </c>
      <c r="N9" s="24">
        <f t="shared" si="5"/>
        <v>375.4172374429224</v>
      </c>
      <c r="O9" s="24">
        <f t="shared" si="6"/>
        <v>619.4384417808219</v>
      </c>
      <c r="P9" s="24">
        <f t="shared" si="7"/>
        <v>277.1758974358974</v>
      </c>
      <c r="Q9" s="25"/>
    </row>
    <row r="10" spans="1:17" ht="10.5" customHeight="1">
      <c r="A10" s="4" t="s">
        <v>23</v>
      </c>
      <c r="F10" s="15">
        <f>616879+10000+5340+12000+12000+5160+3100+9100</f>
        <v>673579</v>
      </c>
      <c r="G10" s="22">
        <f t="shared" si="0"/>
        <v>72169.17857142864</v>
      </c>
      <c r="H10" s="22">
        <f t="shared" si="1"/>
        <v>0</v>
      </c>
      <c r="I10" s="7">
        <f t="shared" si="2"/>
        <v>56131.583333333336</v>
      </c>
      <c r="J10" s="7"/>
      <c r="K10" s="7">
        <v>0</v>
      </c>
      <c r="L10" s="22">
        <f t="shared" si="3"/>
        <v>0</v>
      </c>
      <c r="M10" s="23">
        <f t="shared" si="4"/>
        <v>56131.583333333336</v>
      </c>
      <c r="N10" s="24">
        <f t="shared" si="5"/>
        <v>384.462899543379</v>
      </c>
      <c r="O10" s="24">
        <f t="shared" si="6"/>
        <v>634.3637842465754</v>
      </c>
      <c r="P10" s="24">
        <f t="shared" si="7"/>
        <v>285.3030769230769</v>
      </c>
      <c r="Q10" s="25"/>
    </row>
    <row r="11" spans="1:17" ht="10.5" customHeight="1">
      <c r="A11" s="4" t="s">
        <v>37</v>
      </c>
      <c r="F11" s="15">
        <f>629379+10000+6340+12000+12000+5160+3100+9100</f>
        <v>687079</v>
      </c>
      <c r="G11" s="22">
        <f>F11-(F11/1.12)</f>
        <v>73615.60714285716</v>
      </c>
      <c r="H11" s="22">
        <f t="shared" si="1"/>
        <v>0</v>
      </c>
      <c r="I11" s="7">
        <f>F11/12</f>
        <v>57256.583333333336</v>
      </c>
      <c r="J11" s="7"/>
      <c r="K11" s="7">
        <v>0</v>
      </c>
      <c r="L11" s="22">
        <f>K11*146</f>
        <v>0</v>
      </c>
      <c r="M11" s="23">
        <f t="shared" si="4"/>
        <v>57256.583333333336</v>
      </c>
      <c r="N11" s="24">
        <f t="shared" si="5"/>
        <v>392.1683789954338</v>
      </c>
      <c r="O11" s="24">
        <f>N11*1.65</f>
        <v>647.0778253424658</v>
      </c>
      <c r="P11" s="24">
        <f t="shared" si="7"/>
        <v>292.22615384615386</v>
      </c>
      <c r="Q11" s="25"/>
    </row>
    <row r="12" spans="11:13" ht="10.5" customHeight="1">
      <c r="K12" s="7">
        <v>0</v>
      </c>
      <c r="M12" s="23"/>
    </row>
    <row r="13" ht="10.5" customHeight="1">
      <c r="M13" s="23"/>
    </row>
    <row r="14" ht="10.5" customHeight="1">
      <c r="M14" s="23"/>
    </row>
    <row r="15" ht="10.5" customHeight="1">
      <c r="M15" s="23"/>
    </row>
    <row r="16" ht="10.5" customHeight="1">
      <c r="M16" s="23"/>
    </row>
    <row r="17" ht="10.5" customHeight="1">
      <c r="M17" s="23"/>
    </row>
    <row r="18" ht="10.5" customHeight="1">
      <c r="M18" s="23"/>
    </row>
    <row r="19" ht="10.5" customHeight="1">
      <c r="M19" s="23"/>
    </row>
    <row r="20" ht="10.5" customHeight="1">
      <c r="M20" s="23"/>
    </row>
    <row r="21" ht="10.5" customHeight="1">
      <c r="M21" s="23"/>
    </row>
    <row r="22" ht="10.5" customHeight="1">
      <c r="M22" s="23"/>
    </row>
    <row r="23" spans="11:13" ht="10.5" customHeight="1">
      <c r="K23" s="30"/>
      <c r="M23" s="23"/>
    </row>
    <row r="24" ht="12" customHeight="1"/>
    <row r="25" spans="1:15" s="4" customFormat="1" ht="12" customHeight="1">
      <c r="A25" s="1"/>
      <c r="B25" s="2"/>
      <c r="C25" s="2"/>
      <c r="D25" s="3"/>
      <c r="F25" s="5"/>
      <c r="I25" s="6"/>
      <c r="J25" s="7"/>
      <c r="K25" s="8"/>
      <c r="M25" s="9"/>
      <c r="O25" s="10"/>
    </row>
    <row r="26" spans="1:15" s="4" customFormat="1" ht="12" customHeight="1">
      <c r="A26" s="1"/>
      <c r="B26" s="2"/>
      <c r="C26" s="2"/>
      <c r="D26" s="3"/>
      <c r="F26" s="5"/>
      <c r="I26" s="6"/>
      <c r="J26" s="7"/>
      <c r="K26" s="8"/>
      <c r="M26" s="9"/>
      <c r="O26" s="10"/>
    </row>
    <row r="27" spans="1:13" ht="10.5" customHeight="1">
      <c r="A27" s="9"/>
      <c r="D27" s="26"/>
      <c r="F27" s="15"/>
      <c r="G27" s="22"/>
      <c r="H27" s="22"/>
      <c r="I27" s="7"/>
      <c r="J27" s="7"/>
      <c r="K27" s="7"/>
      <c r="M27" s="23"/>
    </row>
    <row r="28" spans="1:13" ht="10.5" customHeight="1">
      <c r="A28" s="9"/>
      <c r="D28" s="26"/>
      <c r="F28" s="15"/>
      <c r="G28" s="22"/>
      <c r="H28" s="22"/>
      <c r="I28" s="7"/>
      <c r="J28" s="7"/>
      <c r="K28" s="7"/>
      <c r="M28" s="23"/>
    </row>
    <row r="29" spans="1:13" ht="10.5" customHeight="1">
      <c r="A29" s="9"/>
      <c r="F29" s="15"/>
      <c r="G29" s="22"/>
      <c r="H29" s="22"/>
      <c r="I29" s="7"/>
      <c r="J29" s="7"/>
      <c r="K29" s="7"/>
      <c r="M29" s="23"/>
    </row>
    <row r="30" spans="1:13" ht="10.5" customHeight="1">
      <c r="A30" s="9"/>
      <c r="F30" s="15"/>
      <c r="G30" s="22"/>
      <c r="H30" s="22"/>
      <c r="I30" s="7"/>
      <c r="J30" s="7"/>
      <c r="K30" s="7"/>
      <c r="M30" s="23"/>
    </row>
    <row r="31" spans="1:13" ht="10.5" customHeight="1">
      <c r="A31" s="9"/>
      <c r="F31" s="15"/>
      <c r="G31" s="22"/>
      <c r="H31" s="22"/>
      <c r="I31" s="7"/>
      <c r="J31" s="7"/>
      <c r="K31" s="7"/>
      <c r="M31" s="23"/>
    </row>
    <row r="32" spans="1:13" ht="10.5" customHeight="1">
      <c r="A32" s="9"/>
      <c r="F32" s="15"/>
      <c r="G32" s="22"/>
      <c r="H32" s="22"/>
      <c r="I32" s="7"/>
      <c r="J32" s="7"/>
      <c r="K32" s="7"/>
      <c r="M32" s="23"/>
    </row>
    <row r="33" spans="1:13" ht="10.5" customHeight="1">
      <c r="A33" s="9"/>
      <c r="F33" s="15"/>
      <c r="G33" s="22"/>
      <c r="H33" s="22"/>
      <c r="I33" s="7"/>
      <c r="J33" s="7"/>
      <c r="K33" s="7"/>
      <c r="M33" s="23"/>
    </row>
    <row r="34" spans="1:13" ht="10.5" customHeight="1">
      <c r="A34" s="9"/>
      <c r="F34" s="15"/>
      <c r="G34" s="22"/>
      <c r="H34" s="22"/>
      <c r="I34" s="7"/>
      <c r="J34" s="7"/>
      <c r="K34" s="7"/>
      <c r="M34" s="23"/>
    </row>
    <row r="35" spans="1:13" ht="10.5" customHeight="1">
      <c r="A35" s="9"/>
      <c r="F35" s="15"/>
      <c r="G35" s="22"/>
      <c r="H35" s="22"/>
      <c r="I35" s="7"/>
      <c r="J35" s="7"/>
      <c r="K35" s="7"/>
      <c r="M35" s="23"/>
    </row>
    <row r="36" spans="1:13" ht="10.5" customHeight="1">
      <c r="A36" s="9"/>
      <c r="F36" s="15"/>
      <c r="G36" s="22"/>
      <c r="H36" s="22"/>
      <c r="I36" s="7"/>
      <c r="J36" s="7"/>
      <c r="K36" s="7"/>
      <c r="M36" s="23"/>
    </row>
    <row r="37" spans="1:13" ht="10.5" customHeight="1">
      <c r="A37" s="9"/>
      <c r="F37" s="15"/>
      <c r="G37" s="22"/>
      <c r="H37" s="22"/>
      <c r="I37" s="7"/>
      <c r="J37" s="7"/>
      <c r="K37" s="7"/>
      <c r="M37" s="23"/>
    </row>
    <row r="38" spans="1:15" ht="10.5" customHeight="1">
      <c r="A38" s="9"/>
      <c r="F38" s="4"/>
      <c r="G38" s="22"/>
      <c r="H38" s="22"/>
      <c r="I38" s="7"/>
      <c r="J38" s="31"/>
      <c r="K38" s="31"/>
      <c r="L38" s="32"/>
      <c r="M38" s="33"/>
      <c r="N38" s="34"/>
      <c r="O38" s="35"/>
    </row>
    <row r="39" spans="1:13" ht="10.5" customHeight="1">
      <c r="A39" s="36"/>
      <c r="F39" s="15"/>
      <c r="G39" s="22"/>
      <c r="H39" s="22"/>
      <c r="I39" s="7"/>
      <c r="J39" s="7"/>
      <c r="K39" s="7"/>
      <c r="M39" s="23"/>
    </row>
    <row r="40" spans="1:13" ht="10.5" customHeight="1">
      <c r="A40" s="36"/>
      <c r="F40" s="15"/>
      <c r="G40" s="22"/>
      <c r="H40" s="22"/>
      <c r="I40" s="7"/>
      <c r="J40" s="7"/>
      <c r="K40" s="7"/>
      <c r="M40" s="23"/>
    </row>
    <row r="41" spans="1:13" ht="10.5" customHeight="1">
      <c r="A41" s="36"/>
      <c r="F41" s="15"/>
      <c r="G41" s="22"/>
      <c r="H41" s="22"/>
      <c r="I41" s="7"/>
      <c r="J41" s="7"/>
      <c r="K41" s="7"/>
      <c r="M41" s="23"/>
    </row>
    <row r="42" spans="1:13" ht="10.5" customHeight="1">
      <c r="A42" s="36"/>
      <c r="F42" s="15"/>
      <c r="G42" s="22"/>
      <c r="H42" s="22"/>
      <c r="I42" s="7"/>
      <c r="J42" s="7"/>
      <c r="K42" s="7"/>
      <c r="M42" s="23"/>
    </row>
    <row r="43" spans="6:13" ht="10.5" customHeight="1">
      <c r="F43" s="15"/>
      <c r="G43" s="22"/>
      <c r="H43" s="22"/>
      <c r="I43" s="7"/>
      <c r="J43" s="7"/>
      <c r="K43" s="7"/>
      <c r="M43" s="23"/>
    </row>
    <row r="44" spans="6:13" ht="10.5" customHeight="1">
      <c r="F44" s="15"/>
      <c r="G44" s="22"/>
      <c r="H44" s="22"/>
      <c r="I44" s="7"/>
      <c r="J44" s="7"/>
      <c r="K44" s="7"/>
      <c r="M44" s="23"/>
    </row>
    <row r="45" spans="6:13" ht="10.5" customHeight="1">
      <c r="F45" s="15"/>
      <c r="G45" s="22"/>
      <c r="H45" s="22"/>
      <c r="I45" s="7"/>
      <c r="J45" s="7"/>
      <c r="K45" s="7"/>
      <c r="M45" s="23"/>
    </row>
    <row r="46" spans="6:13" ht="10.5" customHeight="1">
      <c r="F46" s="15"/>
      <c r="G46" s="22"/>
      <c r="H46" s="22"/>
      <c r="I46" s="7"/>
      <c r="J46" s="7"/>
      <c r="K46" s="7"/>
      <c r="M46" s="23"/>
    </row>
    <row r="47" spans="6:13" ht="10.5" customHeight="1">
      <c r="F47" s="15"/>
      <c r="G47" s="22"/>
      <c r="H47" s="22"/>
      <c r="I47" s="7"/>
      <c r="J47" s="7"/>
      <c r="K47" s="7"/>
      <c r="M47" s="23"/>
    </row>
    <row r="48" spans="6:13" ht="10.5" customHeight="1">
      <c r="F48" s="15"/>
      <c r="G48" s="22"/>
      <c r="H48" s="22"/>
      <c r="I48" s="7"/>
      <c r="J48" s="7"/>
      <c r="K48" s="7"/>
      <c r="M48" s="23"/>
    </row>
    <row r="49" spans="6:13" ht="10.5" customHeight="1">
      <c r="F49" s="15"/>
      <c r="G49" s="22"/>
      <c r="H49" s="22"/>
      <c r="I49" s="7"/>
      <c r="J49" s="7"/>
      <c r="K49" s="7"/>
      <c r="M49" s="23"/>
    </row>
    <row r="50" spans="6:13" ht="10.5" customHeight="1">
      <c r="F50" s="15"/>
      <c r="G50" s="22"/>
      <c r="H50" s="22"/>
      <c r="I50" s="7"/>
      <c r="J50" s="7"/>
      <c r="K50" s="7"/>
      <c r="M50" s="23"/>
    </row>
    <row r="51" spans="2:13" ht="10.5" customHeight="1">
      <c r="B51" s="20"/>
      <c r="C51" s="20"/>
      <c r="F51" s="15"/>
      <c r="G51" s="22"/>
      <c r="H51" s="22"/>
      <c r="I51" s="7"/>
      <c r="K51" s="7"/>
      <c r="M51" s="23"/>
    </row>
    <row r="52" spans="2:13" ht="10.5" customHeight="1">
      <c r="B52" s="20"/>
      <c r="C52" s="20"/>
      <c r="F52" s="15"/>
      <c r="G52" s="22"/>
      <c r="H52" s="22"/>
      <c r="I52" s="7"/>
      <c r="K52" s="7"/>
      <c r="M52" s="23"/>
    </row>
    <row r="53" spans="2:13" ht="10.5" customHeight="1">
      <c r="B53" s="20"/>
      <c r="C53" s="20"/>
      <c r="F53" s="15"/>
      <c r="G53" s="22"/>
      <c r="H53" s="22"/>
      <c r="I53" s="7"/>
      <c r="K53" s="7"/>
      <c r="M53" s="23"/>
    </row>
    <row r="54" spans="6:13" ht="10.5" customHeight="1">
      <c r="F54" s="15"/>
      <c r="G54" s="22"/>
      <c r="H54" s="22"/>
      <c r="I54" s="7"/>
      <c r="K54" s="7"/>
      <c r="M54" s="23"/>
    </row>
    <row r="55" spans="6:13" ht="10.5" customHeight="1">
      <c r="F55" s="15"/>
      <c r="G55" s="22"/>
      <c r="H55" s="22"/>
      <c r="I55" s="7"/>
      <c r="K55" s="7"/>
      <c r="M55" s="23"/>
    </row>
    <row r="56" spans="6:13" ht="10.5" customHeight="1">
      <c r="F56" s="15"/>
      <c r="G56" s="22"/>
      <c r="H56" s="22"/>
      <c r="I56" s="7"/>
      <c r="K56" s="7"/>
      <c r="M56" s="23"/>
    </row>
    <row r="57" spans="6:13" ht="10.5" customHeight="1">
      <c r="F57" s="15"/>
      <c r="G57" s="22"/>
      <c r="H57" s="22"/>
      <c r="I57" s="7"/>
      <c r="K57" s="7"/>
      <c r="M57" s="23"/>
    </row>
    <row r="58" spans="6:13" ht="10.5" customHeight="1">
      <c r="F58" s="15"/>
      <c r="G58" s="22"/>
      <c r="H58" s="22"/>
      <c r="I58" s="7"/>
      <c r="K58" s="7"/>
      <c r="M58" s="23"/>
    </row>
    <row r="59" spans="6:13" ht="10.5" customHeight="1">
      <c r="F59" s="15"/>
      <c r="G59" s="22"/>
      <c r="H59" s="22"/>
      <c r="I59" s="7"/>
      <c r="K59" s="7"/>
      <c r="M59" s="23"/>
    </row>
    <row r="60" spans="6:13" ht="10.5" customHeight="1">
      <c r="F60" s="15"/>
      <c r="G60" s="22"/>
      <c r="H60" s="22"/>
      <c r="I60" s="7"/>
      <c r="K60" s="7"/>
      <c r="M60" s="23"/>
    </row>
    <row r="61" spans="6:13" ht="10.5" customHeight="1">
      <c r="F61" s="15"/>
      <c r="G61" s="22"/>
      <c r="H61" s="22"/>
      <c r="I61" s="7"/>
      <c r="K61" s="7"/>
      <c r="M61" s="23"/>
    </row>
    <row r="62" spans="7:13" ht="10.5" customHeight="1">
      <c r="G62" s="22"/>
      <c r="H62" s="22"/>
      <c r="M62" s="23"/>
    </row>
    <row r="63" ht="10.5" customHeight="1">
      <c r="M63" s="23"/>
    </row>
    <row r="64" spans="11:13" ht="10.5" customHeight="1">
      <c r="K64" s="7"/>
      <c r="M64" s="23"/>
    </row>
    <row r="65" ht="10.5" customHeight="1">
      <c r="M65" s="23"/>
    </row>
    <row r="66" spans="11:13" ht="10.5" customHeight="1">
      <c r="K66" s="30"/>
      <c r="M66" s="2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1">
      <selection activeCell="A1" sqref="A1:IV16384"/>
    </sheetView>
  </sheetViews>
  <sheetFormatPr defaultColWidth="10.421875" defaultRowHeight="12.75"/>
  <cols>
    <col min="1" max="1" width="7.421875" style="4" customWidth="1"/>
    <col min="2" max="2" width="16.00390625" style="26" customWidth="1"/>
    <col min="3" max="3" width="5.140625" style="26" bestFit="1" customWidth="1"/>
    <col min="4" max="4" width="14.00390625" style="21" customWidth="1"/>
    <col min="5" max="5" width="6.8515625" style="21" customWidth="1"/>
    <col min="6" max="6" width="7.421875" style="27" bestFit="1" customWidth="1"/>
    <col min="7" max="7" width="7.57421875" style="15" customWidth="1"/>
    <col min="8" max="8" width="7.140625" style="15" customWidth="1"/>
    <col min="9" max="9" width="7.7109375" style="28" bestFit="1" customWidth="1"/>
    <col min="10" max="10" width="2.28125" style="29" customWidth="1"/>
    <col min="11" max="11" width="5.421875" style="28" customWidth="1"/>
    <col min="12" max="12" width="6.57421875" style="22" hidden="1" customWidth="1"/>
    <col min="13" max="13" width="10.7109375" style="21" hidden="1" customWidth="1"/>
    <col min="14" max="14" width="10.00390625" style="24" bestFit="1" customWidth="1"/>
    <col min="15" max="15" width="8.00390625" style="24" customWidth="1"/>
    <col min="16" max="16" width="8.57421875" style="24" customWidth="1"/>
    <col min="17" max="16384" width="10.421875" style="21" customWidth="1"/>
  </cols>
  <sheetData>
    <row r="1" spans="1:15" s="4" customFormat="1" ht="12" customHeight="1">
      <c r="A1" s="1" t="s">
        <v>47</v>
      </c>
      <c r="B1" s="2"/>
      <c r="C1" s="2"/>
      <c r="D1" s="3"/>
      <c r="F1" s="5"/>
      <c r="I1" s="6"/>
      <c r="J1" s="7"/>
      <c r="K1" s="8"/>
      <c r="M1" s="9" t="s">
        <v>0</v>
      </c>
      <c r="O1" s="10"/>
    </row>
    <row r="2" spans="1:15" s="4" customFormat="1" ht="12" customHeight="1">
      <c r="A2" s="1"/>
      <c r="B2" s="2"/>
      <c r="C2" s="2"/>
      <c r="D2" s="3"/>
      <c r="F2" s="5"/>
      <c r="I2" s="6"/>
      <c r="J2" s="7"/>
      <c r="K2" s="8"/>
      <c r="M2" s="9"/>
      <c r="O2" s="10"/>
    </row>
    <row r="3" spans="1:17" s="4" customFormat="1" ht="56.25">
      <c r="A3" s="11" t="s">
        <v>22</v>
      </c>
      <c r="B3" s="3" t="s">
        <v>3</v>
      </c>
      <c r="C3" s="3" t="s">
        <v>2</v>
      </c>
      <c r="D3" s="10" t="s">
        <v>4</v>
      </c>
      <c r="E3" s="10" t="s">
        <v>5</v>
      </c>
      <c r="F3" s="12" t="s">
        <v>6</v>
      </c>
      <c r="G3" s="13" t="s">
        <v>7</v>
      </c>
      <c r="H3" s="13" t="s">
        <v>8</v>
      </c>
      <c r="I3" s="14" t="s">
        <v>32</v>
      </c>
      <c r="J3" s="15"/>
      <c r="K3" s="13" t="s">
        <v>20</v>
      </c>
      <c r="L3" s="13"/>
      <c r="M3" s="9"/>
      <c r="N3" s="16" t="s">
        <v>9</v>
      </c>
      <c r="O3" s="17" t="s">
        <v>10</v>
      </c>
      <c r="P3" s="16" t="s">
        <v>11</v>
      </c>
      <c r="Q3" s="18"/>
    </row>
    <row r="4" spans="1:16" s="4" customFormat="1" ht="11.25">
      <c r="A4" s="19"/>
      <c r="B4" s="3"/>
      <c r="C4" s="3"/>
      <c r="D4" s="10"/>
      <c r="E4" s="10"/>
      <c r="F4" s="12"/>
      <c r="G4" s="13"/>
      <c r="H4" s="13"/>
      <c r="I4" s="14"/>
      <c r="J4" s="15"/>
      <c r="K4" s="14"/>
      <c r="L4" s="13"/>
      <c r="M4" s="9"/>
      <c r="N4" s="16"/>
      <c r="O4" s="17"/>
      <c r="P4" s="16"/>
    </row>
    <row r="5" spans="1:17" ht="10.5" customHeight="1">
      <c r="A5" s="4" t="s">
        <v>15</v>
      </c>
      <c r="B5" s="20" t="s">
        <v>26</v>
      </c>
      <c r="C5" s="20" t="s">
        <v>29</v>
      </c>
      <c r="D5" s="21" t="s">
        <v>1</v>
      </c>
      <c r="F5" s="15">
        <f>547077+10000+5340+12000+12000+5160+3100+9100+7166</f>
        <v>610943</v>
      </c>
      <c r="G5" s="22">
        <f aca="true" t="shared" si="0" ref="G5:G10">F5-(F5/1.12)</f>
        <v>65458.17857142864</v>
      </c>
      <c r="H5" s="22">
        <f aca="true" t="shared" si="1" ref="H5:H11">K5*132</f>
        <v>0</v>
      </c>
      <c r="I5" s="7">
        <f aca="true" t="shared" si="2" ref="I5:I10">F5/12</f>
        <v>50911.916666666664</v>
      </c>
      <c r="J5" s="7"/>
      <c r="K5" s="7">
        <v>0</v>
      </c>
      <c r="L5" s="22">
        <f aca="true" t="shared" si="3" ref="L5:L10">K5*146</f>
        <v>0</v>
      </c>
      <c r="M5" s="23">
        <f aca="true" t="shared" si="4" ref="M5:M11">(F5-L5)/12</f>
        <v>50911.916666666664</v>
      </c>
      <c r="N5" s="24">
        <f aca="true" t="shared" si="5" ref="N5:N11">F5/1752</f>
        <v>348.71175799086757</v>
      </c>
      <c r="O5" s="24">
        <f aca="true" t="shared" si="6" ref="O5:O10">N5*1.65</f>
        <v>575.3744006849314</v>
      </c>
      <c r="P5" s="24">
        <f>(F5-(803*146))/1950</f>
        <v>253.18205128205128</v>
      </c>
      <c r="Q5" s="25"/>
    </row>
    <row r="6" spans="1:17" ht="10.5" customHeight="1">
      <c r="A6" s="4" t="s">
        <v>16</v>
      </c>
      <c r="F6" s="15">
        <f>559593+10000+5340+12000+12000+5160+3100+9100+7166</f>
        <v>623459</v>
      </c>
      <c r="G6" s="22">
        <f t="shared" si="0"/>
        <v>66799.17857142864</v>
      </c>
      <c r="H6" s="22">
        <f t="shared" si="1"/>
        <v>0</v>
      </c>
      <c r="I6" s="7">
        <f t="shared" si="2"/>
        <v>51954.916666666664</v>
      </c>
      <c r="J6" s="7"/>
      <c r="K6" s="7">
        <v>0</v>
      </c>
      <c r="L6" s="22">
        <f t="shared" si="3"/>
        <v>0</v>
      </c>
      <c r="M6" s="23">
        <f t="shared" si="4"/>
        <v>51954.916666666664</v>
      </c>
      <c r="N6" s="24">
        <f t="shared" si="5"/>
        <v>355.85559360730593</v>
      </c>
      <c r="O6" s="24">
        <f t="shared" si="6"/>
        <v>587.1617294520547</v>
      </c>
      <c r="P6" s="24">
        <f aca="true" t="shared" si="7" ref="P6:P11">(F6-(803*146))/1950</f>
        <v>259.60051282051285</v>
      </c>
      <c r="Q6" s="25"/>
    </row>
    <row r="7" spans="1:17" ht="10.5" customHeight="1">
      <c r="A7" s="4" t="s">
        <v>17</v>
      </c>
      <c r="B7" s="21"/>
      <c r="C7" s="21"/>
      <c r="F7" s="15">
        <f>572108+10000+5340+12000+12000+5160+3100+9100+7166</f>
        <v>635974</v>
      </c>
      <c r="G7" s="22">
        <f t="shared" si="0"/>
        <v>68140.07142857148</v>
      </c>
      <c r="H7" s="22">
        <f t="shared" si="1"/>
        <v>0</v>
      </c>
      <c r="I7" s="7">
        <f t="shared" si="2"/>
        <v>52997.833333333336</v>
      </c>
      <c r="J7" s="7"/>
      <c r="K7" s="7">
        <v>0</v>
      </c>
      <c r="L7" s="22">
        <f t="shared" si="3"/>
        <v>0</v>
      </c>
      <c r="M7" s="23">
        <f t="shared" si="4"/>
        <v>52997.833333333336</v>
      </c>
      <c r="N7" s="24">
        <f t="shared" si="5"/>
        <v>362.9988584474886</v>
      </c>
      <c r="O7" s="24">
        <f t="shared" si="6"/>
        <v>598.9481164383561</v>
      </c>
      <c r="P7" s="24">
        <f t="shared" si="7"/>
        <v>266.01846153846157</v>
      </c>
      <c r="Q7" s="25"/>
    </row>
    <row r="8" spans="1:17" ht="10.5" customHeight="1">
      <c r="A8" s="4" t="s">
        <v>18</v>
      </c>
      <c r="B8" s="20" t="s">
        <v>35</v>
      </c>
      <c r="C8" s="20" t="s">
        <v>28</v>
      </c>
      <c r="D8" s="21" t="s">
        <v>31</v>
      </c>
      <c r="F8" s="15">
        <f>584625+10000+5340+12000+12000+5160+3100+9100+7166</f>
        <v>648491</v>
      </c>
      <c r="G8" s="22">
        <f t="shared" si="0"/>
        <v>69481.17857142864</v>
      </c>
      <c r="H8" s="22">
        <f t="shared" si="1"/>
        <v>0</v>
      </c>
      <c r="I8" s="7">
        <f t="shared" si="2"/>
        <v>54040.916666666664</v>
      </c>
      <c r="J8" s="7"/>
      <c r="K8" s="7">
        <v>0</v>
      </c>
      <c r="L8" s="22">
        <f t="shared" si="3"/>
        <v>0</v>
      </c>
      <c r="M8" s="23">
        <f t="shared" si="4"/>
        <v>54040.916666666664</v>
      </c>
      <c r="N8" s="24">
        <f t="shared" si="5"/>
        <v>370.14326484018267</v>
      </c>
      <c r="O8" s="24">
        <f t="shared" si="6"/>
        <v>610.7363869863013</v>
      </c>
      <c r="P8" s="24">
        <f t="shared" si="7"/>
        <v>272.4374358974359</v>
      </c>
      <c r="Q8" s="25"/>
    </row>
    <row r="9" spans="1:17" ht="10.5" customHeight="1">
      <c r="A9" s="4" t="s">
        <v>19</v>
      </c>
      <c r="F9" s="15">
        <f>601031+10000+5340+12000+12000+5160+3100+9100+7166</f>
        <v>664897</v>
      </c>
      <c r="G9" s="22">
        <f t="shared" si="0"/>
        <v>71238.96428571432</v>
      </c>
      <c r="H9" s="22">
        <f t="shared" si="1"/>
        <v>0</v>
      </c>
      <c r="I9" s="7">
        <f t="shared" si="2"/>
        <v>55408.083333333336</v>
      </c>
      <c r="J9" s="7"/>
      <c r="K9" s="7">
        <v>0</v>
      </c>
      <c r="L9" s="22">
        <f t="shared" si="3"/>
        <v>0</v>
      </c>
      <c r="M9" s="23">
        <f t="shared" si="4"/>
        <v>55408.083333333336</v>
      </c>
      <c r="N9" s="24">
        <f t="shared" si="5"/>
        <v>379.5074200913242</v>
      </c>
      <c r="O9" s="24">
        <f t="shared" si="6"/>
        <v>626.1872431506849</v>
      </c>
      <c r="P9" s="24">
        <f t="shared" si="7"/>
        <v>280.85076923076923</v>
      </c>
      <c r="Q9" s="25"/>
    </row>
    <row r="10" spans="1:17" ht="10.5" customHeight="1">
      <c r="A10" s="4" t="s">
        <v>23</v>
      </c>
      <c r="F10" s="15">
        <f>616879+10000+5340+12000+12000+5160+3100+9100+7166</f>
        <v>680745</v>
      </c>
      <c r="G10" s="22">
        <f t="shared" si="0"/>
        <v>72936.96428571432</v>
      </c>
      <c r="H10" s="22">
        <f t="shared" si="1"/>
        <v>0</v>
      </c>
      <c r="I10" s="7">
        <f t="shared" si="2"/>
        <v>56728.75</v>
      </c>
      <c r="J10" s="7"/>
      <c r="K10" s="7">
        <v>0</v>
      </c>
      <c r="L10" s="22">
        <f t="shared" si="3"/>
        <v>0</v>
      </c>
      <c r="M10" s="23">
        <f t="shared" si="4"/>
        <v>56728.75</v>
      </c>
      <c r="N10" s="24">
        <f t="shared" si="5"/>
        <v>388.55308219178085</v>
      </c>
      <c r="O10" s="24">
        <f t="shared" si="6"/>
        <v>641.1125856164383</v>
      </c>
      <c r="P10" s="24">
        <f t="shared" si="7"/>
        <v>288.9779487179487</v>
      </c>
      <c r="Q10" s="25"/>
    </row>
    <row r="11" spans="1:17" ht="10.5" customHeight="1">
      <c r="A11" s="4" t="s">
        <v>37</v>
      </c>
      <c r="F11" s="15">
        <f>629379+10000+6340+12000+12000+5160+3100+9100+7166</f>
        <v>694245</v>
      </c>
      <c r="G11" s="22">
        <f>F11-(F11/1.12)</f>
        <v>74383.39285714296</v>
      </c>
      <c r="H11" s="22">
        <f t="shared" si="1"/>
        <v>0</v>
      </c>
      <c r="I11" s="7">
        <f>F11/12</f>
        <v>57853.75</v>
      </c>
      <c r="J11" s="7"/>
      <c r="K11" s="7">
        <v>0</v>
      </c>
      <c r="L11" s="22">
        <f>K11*146</f>
        <v>0</v>
      </c>
      <c r="M11" s="23">
        <f t="shared" si="4"/>
        <v>57853.75</v>
      </c>
      <c r="N11" s="24">
        <f t="shared" si="5"/>
        <v>396.2585616438356</v>
      </c>
      <c r="O11" s="24">
        <f>N11*1.65</f>
        <v>653.8266267123287</v>
      </c>
      <c r="P11" s="24">
        <f t="shared" si="7"/>
        <v>295.9010256410256</v>
      </c>
      <c r="Q11" s="25"/>
    </row>
    <row r="12" spans="11:13" ht="10.5" customHeight="1">
      <c r="K12" s="7">
        <v>0</v>
      </c>
      <c r="M12" s="23"/>
    </row>
    <row r="13" ht="10.5" customHeight="1">
      <c r="M13" s="23"/>
    </row>
    <row r="14" ht="10.5" customHeight="1">
      <c r="M14" s="23"/>
    </row>
    <row r="15" ht="10.5" customHeight="1">
      <c r="M15" s="23"/>
    </row>
    <row r="16" ht="10.5" customHeight="1">
      <c r="M16" s="23"/>
    </row>
    <row r="17" ht="10.5" customHeight="1">
      <c r="M17" s="23"/>
    </row>
    <row r="18" ht="10.5" customHeight="1">
      <c r="M18" s="23"/>
    </row>
    <row r="19" ht="10.5" customHeight="1">
      <c r="M19" s="23"/>
    </row>
    <row r="20" ht="10.5" customHeight="1">
      <c r="M20" s="23"/>
    </row>
    <row r="21" ht="10.5" customHeight="1">
      <c r="M21" s="23"/>
    </row>
    <row r="22" ht="10.5" customHeight="1">
      <c r="M22" s="23"/>
    </row>
    <row r="23" spans="11:13" ht="10.5" customHeight="1">
      <c r="K23" s="30"/>
      <c r="M23" s="23"/>
    </row>
    <row r="24" ht="12" customHeight="1"/>
    <row r="25" spans="1:15" s="4" customFormat="1" ht="12" customHeight="1">
      <c r="A25" s="1"/>
      <c r="B25" s="2"/>
      <c r="C25" s="2"/>
      <c r="D25" s="3"/>
      <c r="F25" s="5"/>
      <c r="I25" s="6"/>
      <c r="J25" s="7"/>
      <c r="K25" s="8"/>
      <c r="M25" s="9"/>
      <c r="O25" s="10"/>
    </row>
    <row r="26" spans="1:15" s="4" customFormat="1" ht="12" customHeight="1">
      <c r="A26" s="1"/>
      <c r="B26" s="2"/>
      <c r="C26" s="2"/>
      <c r="D26" s="3"/>
      <c r="F26" s="5"/>
      <c r="I26" s="6"/>
      <c r="J26" s="7"/>
      <c r="K26" s="8"/>
      <c r="M26" s="9"/>
      <c r="O26" s="10"/>
    </row>
    <row r="27" spans="1:13" ht="10.5" customHeight="1">
      <c r="A27" s="9"/>
      <c r="D27" s="26"/>
      <c r="F27" s="15"/>
      <c r="G27" s="22"/>
      <c r="H27" s="22"/>
      <c r="I27" s="7"/>
      <c r="J27" s="7"/>
      <c r="K27" s="7"/>
      <c r="M27" s="23"/>
    </row>
    <row r="28" spans="1:13" ht="10.5" customHeight="1">
      <c r="A28" s="9"/>
      <c r="D28" s="26"/>
      <c r="F28" s="15"/>
      <c r="G28" s="22"/>
      <c r="H28" s="22"/>
      <c r="I28" s="7"/>
      <c r="J28" s="7"/>
      <c r="K28" s="7"/>
      <c r="M28" s="23"/>
    </row>
    <row r="29" spans="1:13" ht="10.5" customHeight="1">
      <c r="A29" s="9"/>
      <c r="F29" s="15"/>
      <c r="G29" s="22"/>
      <c r="H29" s="22"/>
      <c r="I29" s="7"/>
      <c r="J29" s="7"/>
      <c r="K29" s="7"/>
      <c r="M29" s="23"/>
    </row>
    <row r="30" spans="1:13" ht="10.5" customHeight="1">
      <c r="A30" s="9"/>
      <c r="F30" s="15"/>
      <c r="G30" s="22"/>
      <c r="H30" s="22"/>
      <c r="I30" s="7"/>
      <c r="J30" s="7"/>
      <c r="K30" s="7"/>
      <c r="M30" s="23"/>
    </row>
    <row r="31" spans="1:13" ht="10.5" customHeight="1">
      <c r="A31" s="9"/>
      <c r="F31" s="15"/>
      <c r="G31" s="22"/>
      <c r="H31" s="22"/>
      <c r="I31" s="7"/>
      <c r="J31" s="7"/>
      <c r="K31" s="7"/>
      <c r="M31" s="23"/>
    </row>
    <row r="32" spans="1:13" ht="10.5" customHeight="1">
      <c r="A32" s="9"/>
      <c r="F32" s="15"/>
      <c r="G32" s="22"/>
      <c r="H32" s="22"/>
      <c r="I32" s="7"/>
      <c r="J32" s="7"/>
      <c r="K32" s="7"/>
      <c r="M32" s="23"/>
    </row>
    <row r="33" spans="1:13" ht="10.5" customHeight="1">
      <c r="A33" s="9"/>
      <c r="F33" s="15"/>
      <c r="G33" s="22"/>
      <c r="H33" s="22"/>
      <c r="I33" s="7"/>
      <c r="J33" s="7"/>
      <c r="K33" s="7"/>
      <c r="M33" s="23"/>
    </row>
    <row r="34" spans="1:13" ht="10.5" customHeight="1">
      <c r="A34" s="9"/>
      <c r="F34" s="15"/>
      <c r="G34" s="22"/>
      <c r="H34" s="22"/>
      <c r="I34" s="7"/>
      <c r="J34" s="7"/>
      <c r="K34" s="7"/>
      <c r="M34" s="23"/>
    </row>
    <row r="35" spans="1:13" ht="10.5" customHeight="1">
      <c r="A35" s="9"/>
      <c r="F35" s="15"/>
      <c r="G35" s="22"/>
      <c r="H35" s="22"/>
      <c r="I35" s="7"/>
      <c r="J35" s="7"/>
      <c r="K35" s="7"/>
      <c r="M35" s="23"/>
    </row>
    <row r="36" spans="1:13" ht="10.5" customHeight="1">
      <c r="A36" s="9"/>
      <c r="F36" s="15"/>
      <c r="G36" s="22"/>
      <c r="H36" s="22"/>
      <c r="I36" s="7"/>
      <c r="J36" s="7"/>
      <c r="K36" s="7"/>
      <c r="M36" s="23"/>
    </row>
    <row r="37" spans="1:13" ht="10.5" customHeight="1">
      <c r="A37" s="9"/>
      <c r="F37" s="15"/>
      <c r="G37" s="22"/>
      <c r="H37" s="22"/>
      <c r="I37" s="7"/>
      <c r="J37" s="7"/>
      <c r="K37" s="7"/>
      <c r="M37" s="23"/>
    </row>
    <row r="38" spans="1:15" ht="10.5" customHeight="1">
      <c r="A38" s="9"/>
      <c r="F38" s="4"/>
      <c r="G38" s="22"/>
      <c r="H38" s="22"/>
      <c r="I38" s="7"/>
      <c r="J38" s="31"/>
      <c r="K38" s="31"/>
      <c r="L38" s="32"/>
      <c r="M38" s="33"/>
      <c r="N38" s="34"/>
      <c r="O38" s="35"/>
    </row>
    <row r="39" spans="1:13" ht="10.5" customHeight="1">
      <c r="A39" s="36"/>
      <c r="F39" s="15"/>
      <c r="G39" s="22"/>
      <c r="H39" s="22"/>
      <c r="I39" s="7"/>
      <c r="J39" s="7"/>
      <c r="K39" s="7"/>
      <c r="M39" s="23"/>
    </row>
    <row r="40" spans="1:13" ht="10.5" customHeight="1">
      <c r="A40" s="36"/>
      <c r="F40" s="15"/>
      <c r="G40" s="22"/>
      <c r="H40" s="22"/>
      <c r="I40" s="7"/>
      <c r="J40" s="7"/>
      <c r="K40" s="7"/>
      <c r="M40" s="23"/>
    </row>
    <row r="41" spans="1:13" ht="10.5" customHeight="1">
      <c r="A41" s="36"/>
      <c r="F41" s="15"/>
      <c r="G41" s="22"/>
      <c r="H41" s="22"/>
      <c r="I41" s="7"/>
      <c r="J41" s="7"/>
      <c r="K41" s="7"/>
      <c r="M41" s="23"/>
    </row>
    <row r="42" spans="1:13" ht="10.5" customHeight="1">
      <c r="A42" s="36"/>
      <c r="F42" s="15"/>
      <c r="G42" s="22"/>
      <c r="H42" s="22"/>
      <c r="I42" s="7"/>
      <c r="J42" s="7"/>
      <c r="K42" s="7"/>
      <c r="M42" s="23"/>
    </row>
    <row r="43" spans="6:13" ht="10.5" customHeight="1">
      <c r="F43" s="15"/>
      <c r="G43" s="22"/>
      <c r="H43" s="22"/>
      <c r="I43" s="7"/>
      <c r="J43" s="7"/>
      <c r="K43" s="7"/>
      <c r="M43" s="23"/>
    </row>
    <row r="44" spans="6:13" ht="10.5" customHeight="1">
      <c r="F44" s="15"/>
      <c r="G44" s="22"/>
      <c r="H44" s="22"/>
      <c r="I44" s="7"/>
      <c r="J44" s="7"/>
      <c r="K44" s="7"/>
      <c r="M44" s="23"/>
    </row>
    <row r="45" spans="6:13" ht="10.5" customHeight="1">
      <c r="F45" s="15"/>
      <c r="G45" s="22"/>
      <c r="H45" s="22"/>
      <c r="I45" s="7"/>
      <c r="J45" s="7"/>
      <c r="K45" s="7"/>
      <c r="M45" s="23"/>
    </row>
    <row r="46" spans="6:13" ht="10.5" customHeight="1">
      <c r="F46" s="15"/>
      <c r="G46" s="22"/>
      <c r="H46" s="22"/>
      <c r="I46" s="7"/>
      <c r="J46" s="7"/>
      <c r="K46" s="7"/>
      <c r="M46" s="23"/>
    </row>
    <row r="47" spans="6:13" ht="10.5" customHeight="1">
      <c r="F47" s="15"/>
      <c r="G47" s="22"/>
      <c r="H47" s="22"/>
      <c r="I47" s="7"/>
      <c r="J47" s="7"/>
      <c r="K47" s="7"/>
      <c r="M47" s="23"/>
    </row>
    <row r="48" spans="6:13" ht="10.5" customHeight="1">
      <c r="F48" s="15"/>
      <c r="G48" s="22"/>
      <c r="H48" s="22"/>
      <c r="I48" s="7"/>
      <c r="J48" s="7"/>
      <c r="K48" s="7"/>
      <c r="M48" s="23"/>
    </row>
    <row r="49" spans="6:13" ht="10.5" customHeight="1">
      <c r="F49" s="15"/>
      <c r="G49" s="22"/>
      <c r="H49" s="22"/>
      <c r="I49" s="7"/>
      <c r="J49" s="7"/>
      <c r="K49" s="7"/>
      <c r="M49" s="23"/>
    </row>
    <row r="50" spans="6:13" ht="10.5" customHeight="1">
      <c r="F50" s="15"/>
      <c r="G50" s="22"/>
      <c r="H50" s="22"/>
      <c r="I50" s="7"/>
      <c r="J50" s="7"/>
      <c r="K50" s="7"/>
      <c r="M50" s="23"/>
    </row>
    <row r="51" spans="2:13" ht="10.5" customHeight="1">
      <c r="B51" s="20"/>
      <c r="C51" s="20"/>
      <c r="F51" s="15"/>
      <c r="G51" s="22"/>
      <c r="H51" s="22"/>
      <c r="I51" s="7"/>
      <c r="K51" s="7"/>
      <c r="M51" s="23"/>
    </row>
    <row r="52" spans="2:13" ht="10.5" customHeight="1">
      <c r="B52" s="20"/>
      <c r="C52" s="20"/>
      <c r="F52" s="15"/>
      <c r="G52" s="22"/>
      <c r="H52" s="22"/>
      <c r="I52" s="7"/>
      <c r="K52" s="7"/>
      <c r="M52" s="23"/>
    </row>
    <row r="53" spans="2:13" ht="10.5" customHeight="1">
      <c r="B53" s="20"/>
      <c r="C53" s="20"/>
      <c r="F53" s="15"/>
      <c r="G53" s="22"/>
      <c r="H53" s="22"/>
      <c r="I53" s="7"/>
      <c r="K53" s="7"/>
      <c r="M53" s="23"/>
    </row>
    <row r="54" spans="6:13" ht="10.5" customHeight="1">
      <c r="F54" s="15"/>
      <c r="G54" s="22"/>
      <c r="H54" s="22"/>
      <c r="I54" s="7"/>
      <c r="K54" s="7"/>
      <c r="M54" s="23"/>
    </row>
    <row r="55" spans="6:13" ht="10.5" customHeight="1">
      <c r="F55" s="15"/>
      <c r="G55" s="22"/>
      <c r="H55" s="22"/>
      <c r="I55" s="7"/>
      <c r="K55" s="7"/>
      <c r="M55" s="23"/>
    </row>
    <row r="56" spans="6:13" ht="10.5" customHeight="1">
      <c r="F56" s="15"/>
      <c r="G56" s="22"/>
      <c r="H56" s="22"/>
      <c r="I56" s="7"/>
      <c r="K56" s="7"/>
      <c r="M56" s="23"/>
    </row>
    <row r="57" spans="6:13" ht="10.5" customHeight="1">
      <c r="F57" s="15"/>
      <c r="G57" s="22"/>
      <c r="H57" s="22"/>
      <c r="I57" s="7"/>
      <c r="K57" s="7"/>
      <c r="M57" s="23"/>
    </row>
    <row r="58" spans="6:13" ht="10.5" customHeight="1">
      <c r="F58" s="15"/>
      <c r="G58" s="22"/>
      <c r="H58" s="22"/>
      <c r="I58" s="7"/>
      <c r="K58" s="7"/>
      <c r="M58" s="23"/>
    </row>
    <row r="59" spans="6:13" ht="10.5" customHeight="1">
      <c r="F59" s="15"/>
      <c r="G59" s="22"/>
      <c r="H59" s="22"/>
      <c r="I59" s="7"/>
      <c r="K59" s="7"/>
      <c r="M59" s="23"/>
    </row>
    <row r="60" spans="6:13" ht="10.5" customHeight="1">
      <c r="F60" s="15"/>
      <c r="G60" s="22"/>
      <c r="H60" s="22"/>
      <c r="I60" s="7"/>
      <c r="K60" s="7"/>
      <c r="M60" s="23"/>
    </row>
    <row r="61" spans="6:13" ht="10.5" customHeight="1">
      <c r="F61" s="15"/>
      <c r="G61" s="22"/>
      <c r="H61" s="22"/>
      <c r="I61" s="7"/>
      <c r="K61" s="7"/>
      <c r="M61" s="23"/>
    </row>
    <row r="62" spans="7:13" ht="10.5" customHeight="1">
      <c r="G62" s="22"/>
      <c r="H62" s="22"/>
      <c r="M62" s="23"/>
    </row>
    <row r="63" ht="10.5" customHeight="1">
      <c r="M63" s="23"/>
    </row>
    <row r="64" spans="11:13" ht="10.5" customHeight="1">
      <c r="K64" s="7"/>
      <c r="M64" s="23"/>
    </row>
    <row r="65" ht="10.5" customHeight="1">
      <c r="M65" s="23"/>
    </row>
    <row r="66" spans="11:13" ht="10.5" customHeight="1">
      <c r="K66" s="30"/>
      <c r="M66" s="2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1">
      <selection activeCell="A1" sqref="A1:IV16384"/>
    </sheetView>
  </sheetViews>
  <sheetFormatPr defaultColWidth="10.421875" defaultRowHeight="12.75"/>
  <cols>
    <col min="1" max="1" width="7.421875" style="4" customWidth="1"/>
    <col min="2" max="2" width="16.00390625" style="26" customWidth="1"/>
    <col min="3" max="3" width="5.140625" style="26" bestFit="1" customWidth="1"/>
    <col min="4" max="4" width="14.00390625" style="21" customWidth="1"/>
    <col min="5" max="5" width="6.8515625" style="21" customWidth="1"/>
    <col min="6" max="6" width="7.421875" style="27" bestFit="1" customWidth="1"/>
    <col min="7" max="7" width="7.57421875" style="15" customWidth="1"/>
    <col min="8" max="8" width="7.140625" style="15" customWidth="1"/>
    <col min="9" max="9" width="7.7109375" style="28" bestFit="1" customWidth="1"/>
    <col min="10" max="10" width="2.28125" style="29" customWidth="1"/>
    <col min="11" max="11" width="5.421875" style="28" customWidth="1"/>
    <col min="12" max="12" width="6.57421875" style="22" hidden="1" customWidth="1"/>
    <col min="13" max="13" width="10.7109375" style="21" hidden="1" customWidth="1"/>
    <col min="14" max="14" width="10.00390625" style="24" bestFit="1" customWidth="1"/>
    <col min="15" max="15" width="8.00390625" style="24" customWidth="1"/>
    <col min="16" max="16" width="8.57421875" style="24" customWidth="1"/>
    <col min="17" max="16384" width="10.421875" style="21" customWidth="1"/>
  </cols>
  <sheetData>
    <row r="1" spans="1:15" s="4" customFormat="1" ht="12" customHeight="1">
      <c r="A1" s="1" t="s">
        <v>48</v>
      </c>
      <c r="B1" s="2"/>
      <c r="C1" s="2"/>
      <c r="D1" s="3"/>
      <c r="F1" s="5"/>
      <c r="I1" s="6"/>
      <c r="J1" s="7"/>
      <c r="K1" s="8"/>
      <c r="M1" s="9" t="s">
        <v>0</v>
      </c>
      <c r="O1" s="10"/>
    </row>
    <row r="2" spans="1:15" s="4" customFormat="1" ht="12" customHeight="1">
      <c r="A2" s="1"/>
      <c r="B2" s="2"/>
      <c r="C2" s="2"/>
      <c r="D2" s="3"/>
      <c r="F2" s="5"/>
      <c r="I2" s="6"/>
      <c r="J2" s="7"/>
      <c r="K2" s="8"/>
      <c r="M2" s="9"/>
      <c r="O2" s="10"/>
    </row>
    <row r="3" spans="1:17" s="4" customFormat="1" ht="56.25">
      <c r="A3" s="11" t="s">
        <v>22</v>
      </c>
      <c r="B3" s="3" t="s">
        <v>3</v>
      </c>
      <c r="C3" s="3" t="s">
        <v>2</v>
      </c>
      <c r="D3" s="10" t="s">
        <v>4</v>
      </c>
      <c r="E3" s="10" t="s">
        <v>5</v>
      </c>
      <c r="F3" s="12" t="s">
        <v>6</v>
      </c>
      <c r="G3" s="13" t="s">
        <v>7</v>
      </c>
      <c r="H3" s="13" t="s">
        <v>8</v>
      </c>
      <c r="I3" s="14" t="s">
        <v>32</v>
      </c>
      <c r="J3" s="15"/>
      <c r="K3" s="13" t="s">
        <v>20</v>
      </c>
      <c r="L3" s="13"/>
      <c r="M3" s="9"/>
      <c r="N3" s="16" t="s">
        <v>9</v>
      </c>
      <c r="O3" s="17" t="s">
        <v>10</v>
      </c>
      <c r="P3" s="16" t="s">
        <v>11</v>
      </c>
      <c r="Q3" s="18"/>
    </row>
    <row r="4" spans="1:16" s="4" customFormat="1" ht="11.25">
      <c r="A4" s="19"/>
      <c r="B4" s="3"/>
      <c r="C4" s="3"/>
      <c r="D4" s="10"/>
      <c r="E4" s="10"/>
      <c r="F4" s="12"/>
      <c r="G4" s="13"/>
      <c r="H4" s="13"/>
      <c r="I4" s="14"/>
      <c r="J4" s="15"/>
      <c r="K4" s="14"/>
      <c r="L4" s="13"/>
      <c r="M4" s="9"/>
      <c r="N4" s="16"/>
      <c r="O4" s="17"/>
      <c r="P4" s="16"/>
    </row>
    <row r="5" spans="1:17" ht="10.5" customHeight="1">
      <c r="A5" s="4" t="s">
        <v>15</v>
      </c>
      <c r="B5" s="20" t="s">
        <v>26</v>
      </c>
      <c r="C5" s="20" t="s">
        <v>29</v>
      </c>
      <c r="D5" s="21" t="s">
        <v>1</v>
      </c>
      <c r="F5" s="15">
        <f>547077+10000+5340+12000+12000+5160+3100+9100+7166</f>
        <v>610943</v>
      </c>
      <c r="G5" s="22">
        <f aca="true" t="shared" si="0" ref="G5:G10">F5-(F5/1.12)</f>
        <v>65458.17857142864</v>
      </c>
      <c r="H5" s="22">
        <f aca="true" t="shared" si="1" ref="H5:H11">K5*132</f>
        <v>0</v>
      </c>
      <c r="I5" s="7">
        <f aca="true" t="shared" si="2" ref="I5:I10">F5/12</f>
        <v>50911.916666666664</v>
      </c>
      <c r="J5" s="7"/>
      <c r="K5" s="7">
        <v>0</v>
      </c>
      <c r="L5" s="22">
        <f aca="true" t="shared" si="3" ref="L5:L10">K5*146</f>
        <v>0</v>
      </c>
      <c r="M5" s="23">
        <f aca="true" t="shared" si="4" ref="M5:M11">(F5-L5)/12</f>
        <v>50911.916666666664</v>
      </c>
      <c r="N5" s="24">
        <f aca="true" t="shared" si="5" ref="N5:N11">F5/1752</f>
        <v>348.71175799086757</v>
      </c>
      <c r="O5" s="24">
        <f aca="true" t="shared" si="6" ref="O5:O10">N5*1.65</f>
        <v>575.3744006849314</v>
      </c>
      <c r="P5" s="24">
        <f>(F5-(803*146))/1950</f>
        <v>253.18205128205128</v>
      </c>
      <c r="Q5" s="25"/>
    </row>
    <row r="6" spans="1:17" ht="10.5" customHeight="1">
      <c r="A6" s="4" t="s">
        <v>16</v>
      </c>
      <c r="F6" s="15">
        <f>559593+10000+5340+12000+12000+5160+3100+9100+7166</f>
        <v>623459</v>
      </c>
      <c r="G6" s="22">
        <f t="shared" si="0"/>
        <v>66799.17857142864</v>
      </c>
      <c r="H6" s="22">
        <f t="shared" si="1"/>
        <v>0</v>
      </c>
      <c r="I6" s="7">
        <f t="shared" si="2"/>
        <v>51954.916666666664</v>
      </c>
      <c r="J6" s="7"/>
      <c r="K6" s="7">
        <v>0</v>
      </c>
      <c r="L6" s="22">
        <f t="shared" si="3"/>
        <v>0</v>
      </c>
      <c r="M6" s="23">
        <f t="shared" si="4"/>
        <v>51954.916666666664</v>
      </c>
      <c r="N6" s="24">
        <f t="shared" si="5"/>
        <v>355.85559360730593</v>
      </c>
      <c r="O6" s="24">
        <f t="shared" si="6"/>
        <v>587.1617294520547</v>
      </c>
      <c r="P6" s="24">
        <f aca="true" t="shared" si="7" ref="P6:P11">(F6-(803*146))/1950</f>
        <v>259.60051282051285</v>
      </c>
      <c r="Q6" s="25"/>
    </row>
    <row r="7" spans="1:17" ht="10.5" customHeight="1">
      <c r="A7" s="4" t="s">
        <v>17</v>
      </c>
      <c r="B7" s="21"/>
      <c r="C7" s="21"/>
      <c r="F7" s="15">
        <f>572108+10000+5340+12000+12000+5160+3100+9100+7166</f>
        <v>635974</v>
      </c>
      <c r="G7" s="22">
        <f t="shared" si="0"/>
        <v>68140.07142857148</v>
      </c>
      <c r="H7" s="22">
        <f t="shared" si="1"/>
        <v>0</v>
      </c>
      <c r="I7" s="7">
        <f t="shared" si="2"/>
        <v>52997.833333333336</v>
      </c>
      <c r="J7" s="7"/>
      <c r="K7" s="7">
        <v>0</v>
      </c>
      <c r="L7" s="22">
        <f t="shared" si="3"/>
        <v>0</v>
      </c>
      <c r="M7" s="23">
        <f t="shared" si="4"/>
        <v>52997.833333333336</v>
      </c>
      <c r="N7" s="24">
        <f t="shared" si="5"/>
        <v>362.9988584474886</v>
      </c>
      <c r="O7" s="24">
        <f t="shared" si="6"/>
        <v>598.9481164383561</v>
      </c>
      <c r="P7" s="24">
        <f t="shared" si="7"/>
        <v>266.01846153846157</v>
      </c>
      <c r="Q7" s="25"/>
    </row>
    <row r="8" spans="1:17" ht="10.5" customHeight="1">
      <c r="A8" s="4" t="s">
        <v>18</v>
      </c>
      <c r="B8" s="20" t="s">
        <v>35</v>
      </c>
      <c r="C8" s="20" t="s">
        <v>28</v>
      </c>
      <c r="D8" s="21" t="s">
        <v>31</v>
      </c>
      <c r="F8" s="15">
        <f>584625+10000+5340+12000+12000+5160+3100+9100+7166</f>
        <v>648491</v>
      </c>
      <c r="G8" s="22">
        <f t="shared" si="0"/>
        <v>69481.17857142864</v>
      </c>
      <c r="H8" s="22">
        <f t="shared" si="1"/>
        <v>0</v>
      </c>
      <c r="I8" s="7">
        <f t="shared" si="2"/>
        <v>54040.916666666664</v>
      </c>
      <c r="J8" s="7"/>
      <c r="K8" s="7">
        <v>0</v>
      </c>
      <c r="L8" s="22">
        <f t="shared" si="3"/>
        <v>0</v>
      </c>
      <c r="M8" s="23">
        <f t="shared" si="4"/>
        <v>54040.916666666664</v>
      </c>
      <c r="N8" s="24">
        <f t="shared" si="5"/>
        <v>370.14326484018267</v>
      </c>
      <c r="O8" s="24">
        <f t="shared" si="6"/>
        <v>610.7363869863013</v>
      </c>
      <c r="P8" s="24">
        <f t="shared" si="7"/>
        <v>272.4374358974359</v>
      </c>
      <c r="Q8" s="25"/>
    </row>
    <row r="9" spans="1:17" ht="10.5" customHeight="1">
      <c r="A9" s="4" t="s">
        <v>19</v>
      </c>
      <c r="F9" s="15">
        <f>601031+10000+5340+12000+12000+5160+3100+9100+7166</f>
        <v>664897</v>
      </c>
      <c r="G9" s="22">
        <f t="shared" si="0"/>
        <v>71238.96428571432</v>
      </c>
      <c r="H9" s="22">
        <f t="shared" si="1"/>
        <v>0</v>
      </c>
      <c r="I9" s="7">
        <f t="shared" si="2"/>
        <v>55408.083333333336</v>
      </c>
      <c r="J9" s="7"/>
      <c r="K9" s="7">
        <v>0</v>
      </c>
      <c r="L9" s="22">
        <f t="shared" si="3"/>
        <v>0</v>
      </c>
      <c r="M9" s="23">
        <f t="shared" si="4"/>
        <v>55408.083333333336</v>
      </c>
      <c r="N9" s="24">
        <f t="shared" si="5"/>
        <v>379.5074200913242</v>
      </c>
      <c r="O9" s="24">
        <f t="shared" si="6"/>
        <v>626.1872431506849</v>
      </c>
      <c r="P9" s="24">
        <f t="shared" si="7"/>
        <v>280.85076923076923</v>
      </c>
      <c r="Q9" s="25"/>
    </row>
    <row r="10" spans="1:17" ht="10.5" customHeight="1">
      <c r="A10" s="4" t="s">
        <v>23</v>
      </c>
      <c r="F10" s="15">
        <f>616879+10000+5340+12000+12000+5160+3100+9100+7166</f>
        <v>680745</v>
      </c>
      <c r="G10" s="22">
        <f t="shared" si="0"/>
        <v>72936.96428571432</v>
      </c>
      <c r="H10" s="22">
        <f t="shared" si="1"/>
        <v>0</v>
      </c>
      <c r="I10" s="7">
        <f t="shared" si="2"/>
        <v>56728.75</v>
      </c>
      <c r="J10" s="7"/>
      <c r="K10" s="7">
        <v>0</v>
      </c>
      <c r="L10" s="22">
        <f t="shared" si="3"/>
        <v>0</v>
      </c>
      <c r="M10" s="23">
        <f t="shared" si="4"/>
        <v>56728.75</v>
      </c>
      <c r="N10" s="24">
        <f t="shared" si="5"/>
        <v>388.55308219178085</v>
      </c>
      <c r="O10" s="24">
        <f t="shared" si="6"/>
        <v>641.1125856164383</v>
      </c>
      <c r="P10" s="24">
        <f t="shared" si="7"/>
        <v>288.9779487179487</v>
      </c>
      <c r="Q10" s="25"/>
    </row>
    <row r="11" spans="1:17" ht="10.5" customHeight="1">
      <c r="A11" s="4" t="s">
        <v>37</v>
      </c>
      <c r="F11" s="15">
        <f>629379+10000+6340+12000+12000+5160+3100+9100+7166</f>
        <v>694245</v>
      </c>
      <c r="G11" s="22">
        <f>F11-(F11/1.12)</f>
        <v>74383.39285714296</v>
      </c>
      <c r="H11" s="22">
        <f t="shared" si="1"/>
        <v>0</v>
      </c>
      <c r="I11" s="7">
        <f>F11/12</f>
        <v>57853.75</v>
      </c>
      <c r="J11" s="7"/>
      <c r="K11" s="7">
        <v>0</v>
      </c>
      <c r="L11" s="22">
        <f>K11*146</f>
        <v>0</v>
      </c>
      <c r="M11" s="23">
        <f t="shared" si="4"/>
        <v>57853.75</v>
      </c>
      <c r="N11" s="24">
        <f t="shared" si="5"/>
        <v>396.2585616438356</v>
      </c>
      <c r="O11" s="24">
        <f>N11*1.65</f>
        <v>653.8266267123287</v>
      </c>
      <c r="P11" s="24">
        <f t="shared" si="7"/>
        <v>295.9010256410256</v>
      </c>
      <c r="Q11" s="25"/>
    </row>
    <row r="12" spans="1:17" ht="10.5" customHeight="1">
      <c r="A12" s="4" t="s">
        <v>49</v>
      </c>
      <c r="F12" s="15">
        <v>706245</v>
      </c>
      <c r="G12" s="22">
        <f>F12-(F12/1.12)</f>
        <v>75669.10714285716</v>
      </c>
      <c r="H12" s="22">
        <f>K12*132</f>
        <v>0</v>
      </c>
      <c r="I12" s="7">
        <f>F12/12</f>
        <v>58853.75</v>
      </c>
      <c r="J12" s="7"/>
      <c r="K12" s="7">
        <v>0</v>
      </c>
      <c r="L12" s="22">
        <f>K12*146</f>
        <v>0</v>
      </c>
      <c r="M12" s="23">
        <f>(F12-L12)/12</f>
        <v>58853.75</v>
      </c>
      <c r="N12" s="24">
        <f>F12/1752</f>
        <v>403.1078767123288</v>
      </c>
      <c r="O12" s="24">
        <f>N12*1.65</f>
        <v>665.1279965753424</v>
      </c>
      <c r="P12" s="24">
        <f>(F12-(803*146))/1950</f>
        <v>302.0548717948718</v>
      </c>
      <c r="Q12" s="25"/>
    </row>
    <row r="13" ht="10.5" customHeight="1">
      <c r="M13" s="23"/>
    </row>
    <row r="14" ht="10.5" customHeight="1">
      <c r="M14" s="23"/>
    </row>
    <row r="15" ht="10.5" customHeight="1">
      <c r="M15" s="23"/>
    </row>
    <row r="16" ht="10.5" customHeight="1">
      <c r="M16" s="23"/>
    </row>
    <row r="17" ht="10.5" customHeight="1">
      <c r="M17" s="23"/>
    </row>
    <row r="18" ht="10.5" customHeight="1">
      <c r="M18" s="23"/>
    </row>
    <row r="19" ht="10.5" customHeight="1">
      <c r="M19" s="23"/>
    </row>
    <row r="20" ht="10.5" customHeight="1">
      <c r="M20" s="23"/>
    </row>
    <row r="21" ht="10.5" customHeight="1">
      <c r="M21" s="23"/>
    </row>
    <row r="22" ht="10.5" customHeight="1">
      <c r="M22" s="23"/>
    </row>
    <row r="23" spans="11:13" ht="10.5" customHeight="1">
      <c r="K23" s="30"/>
      <c r="M23" s="23"/>
    </row>
    <row r="24" ht="12" customHeight="1"/>
    <row r="25" spans="1:15" s="4" customFormat="1" ht="12" customHeight="1">
      <c r="A25" s="1"/>
      <c r="B25" s="2"/>
      <c r="C25" s="2"/>
      <c r="D25" s="3"/>
      <c r="F25" s="5"/>
      <c r="I25" s="6"/>
      <c r="J25" s="7"/>
      <c r="K25" s="8"/>
      <c r="M25" s="9"/>
      <c r="O25" s="10"/>
    </row>
    <row r="26" spans="1:15" s="4" customFormat="1" ht="12" customHeight="1">
      <c r="A26" s="1"/>
      <c r="B26" s="2"/>
      <c r="C26" s="2"/>
      <c r="D26" s="3"/>
      <c r="F26" s="5"/>
      <c r="I26" s="6"/>
      <c r="J26" s="7"/>
      <c r="K26" s="8"/>
      <c r="M26" s="9"/>
      <c r="O26" s="10"/>
    </row>
    <row r="27" spans="1:13" ht="10.5" customHeight="1">
      <c r="A27" s="9"/>
      <c r="D27" s="26"/>
      <c r="F27" s="15"/>
      <c r="G27" s="22"/>
      <c r="H27" s="22"/>
      <c r="I27" s="7"/>
      <c r="J27" s="7"/>
      <c r="K27" s="7"/>
      <c r="M27" s="23"/>
    </row>
    <row r="28" spans="1:13" ht="10.5" customHeight="1">
      <c r="A28" s="9"/>
      <c r="D28" s="26"/>
      <c r="F28" s="15"/>
      <c r="G28" s="22"/>
      <c r="H28" s="22"/>
      <c r="I28" s="7"/>
      <c r="J28" s="7"/>
      <c r="K28" s="7"/>
      <c r="M28" s="23"/>
    </row>
    <row r="29" spans="1:13" ht="10.5" customHeight="1">
      <c r="A29" s="9"/>
      <c r="F29" s="15"/>
      <c r="G29" s="22"/>
      <c r="H29" s="22"/>
      <c r="I29" s="7"/>
      <c r="J29" s="7"/>
      <c r="K29" s="7"/>
      <c r="M29" s="23"/>
    </row>
    <row r="30" spans="1:13" ht="10.5" customHeight="1">
      <c r="A30" s="9"/>
      <c r="F30" s="15"/>
      <c r="G30" s="22"/>
      <c r="H30" s="22"/>
      <c r="I30" s="7"/>
      <c r="J30" s="7"/>
      <c r="K30" s="7"/>
      <c r="M30" s="23"/>
    </row>
    <row r="31" spans="1:13" ht="10.5" customHeight="1">
      <c r="A31" s="9"/>
      <c r="F31" s="15"/>
      <c r="G31" s="22"/>
      <c r="H31" s="22"/>
      <c r="I31" s="7"/>
      <c r="J31" s="7"/>
      <c r="K31" s="7"/>
      <c r="M31" s="23"/>
    </row>
    <row r="32" spans="1:13" ht="10.5" customHeight="1">
      <c r="A32" s="9"/>
      <c r="F32" s="15"/>
      <c r="G32" s="22"/>
      <c r="H32" s="22"/>
      <c r="I32" s="7"/>
      <c r="J32" s="7"/>
      <c r="K32" s="7"/>
      <c r="M32" s="23"/>
    </row>
    <row r="33" spans="1:13" ht="10.5" customHeight="1">
      <c r="A33" s="9"/>
      <c r="F33" s="15"/>
      <c r="G33" s="22"/>
      <c r="H33" s="22"/>
      <c r="I33" s="7"/>
      <c r="J33" s="7"/>
      <c r="K33" s="7"/>
      <c r="M33" s="23"/>
    </row>
    <row r="34" spans="1:13" ht="10.5" customHeight="1">
      <c r="A34" s="9"/>
      <c r="F34" s="15"/>
      <c r="G34" s="22"/>
      <c r="H34" s="22"/>
      <c r="I34" s="7"/>
      <c r="J34" s="7"/>
      <c r="K34" s="7"/>
      <c r="M34" s="23"/>
    </row>
    <row r="35" spans="1:13" ht="10.5" customHeight="1">
      <c r="A35" s="9"/>
      <c r="F35" s="15"/>
      <c r="G35" s="22"/>
      <c r="H35" s="22"/>
      <c r="I35" s="7"/>
      <c r="J35" s="7"/>
      <c r="K35" s="7"/>
      <c r="M35" s="23"/>
    </row>
    <row r="36" spans="1:13" ht="10.5" customHeight="1">
      <c r="A36" s="9"/>
      <c r="F36" s="15"/>
      <c r="G36" s="22"/>
      <c r="H36" s="22"/>
      <c r="I36" s="7"/>
      <c r="J36" s="7"/>
      <c r="K36" s="7"/>
      <c r="M36" s="23"/>
    </row>
    <row r="37" spans="1:13" ht="10.5" customHeight="1">
      <c r="A37" s="9"/>
      <c r="F37" s="15"/>
      <c r="G37" s="22"/>
      <c r="H37" s="22"/>
      <c r="I37" s="7"/>
      <c r="J37" s="7"/>
      <c r="K37" s="7"/>
      <c r="M37" s="23"/>
    </row>
    <row r="38" spans="1:15" ht="10.5" customHeight="1">
      <c r="A38" s="9"/>
      <c r="F38" s="4"/>
      <c r="G38" s="22"/>
      <c r="H38" s="22"/>
      <c r="I38" s="7"/>
      <c r="J38" s="31"/>
      <c r="K38" s="31"/>
      <c r="L38" s="32"/>
      <c r="M38" s="33"/>
      <c r="N38" s="34"/>
      <c r="O38" s="35"/>
    </row>
    <row r="39" spans="1:13" ht="10.5" customHeight="1">
      <c r="A39" s="36"/>
      <c r="F39" s="15"/>
      <c r="G39" s="22"/>
      <c r="H39" s="22"/>
      <c r="I39" s="7"/>
      <c r="J39" s="7"/>
      <c r="K39" s="7"/>
      <c r="M39" s="23"/>
    </row>
    <row r="40" spans="1:13" ht="10.5" customHeight="1">
      <c r="A40" s="36"/>
      <c r="F40" s="15"/>
      <c r="G40" s="22"/>
      <c r="H40" s="22"/>
      <c r="I40" s="7"/>
      <c r="J40" s="7"/>
      <c r="K40" s="7"/>
      <c r="M40" s="23"/>
    </row>
    <row r="41" spans="1:13" ht="10.5" customHeight="1">
      <c r="A41" s="36"/>
      <c r="F41" s="15"/>
      <c r="G41" s="22"/>
      <c r="H41" s="22"/>
      <c r="I41" s="7"/>
      <c r="J41" s="7"/>
      <c r="K41" s="7"/>
      <c r="M41" s="23"/>
    </row>
    <row r="42" spans="1:13" ht="10.5" customHeight="1">
      <c r="A42" s="36"/>
      <c r="F42" s="15"/>
      <c r="G42" s="22"/>
      <c r="H42" s="22"/>
      <c r="I42" s="7"/>
      <c r="J42" s="7"/>
      <c r="K42" s="7"/>
      <c r="M42" s="23"/>
    </row>
    <row r="43" spans="6:13" ht="10.5" customHeight="1">
      <c r="F43" s="15"/>
      <c r="G43" s="22"/>
      <c r="H43" s="22"/>
      <c r="I43" s="7"/>
      <c r="J43" s="7"/>
      <c r="K43" s="7"/>
      <c r="M43" s="23"/>
    </row>
    <row r="44" spans="6:13" ht="10.5" customHeight="1">
      <c r="F44" s="15"/>
      <c r="G44" s="22"/>
      <c r="H44" s="22"/>
      <c r="I44" s="7"/>
      <c r="J44" s="7"/>
      <c r="K44" s="7"/>
      <c r="M44" s="23"/>
    </row>
    <row r="45" spans="6:13" ht="10.5" customHeight="1">
      <c r="F45" s="15"/>
      <c r="G45" s="22"/>
      <c r="H45" s="22"/>
      <c r="I45" s="7"/>
      <c r="J45" s="7"/>
      <c r="K45" s="7"/>
      <c r="M45" s="23"/>
    </row>
    <row r="46" spans="6:13" ht="10.5" customHeight="1">
      <c r="F46" s="15"/>
      <c r="G46" s="22"/>
      <c r="H46" s="22"/>
      <c r="I46" s="7"/>
      <c r="J46" s="7"/>
      <c r="K46" s="7"/>
      <c r="M46" s="23"/>
    </row>
    <row r="47" spans="6:13" ht="10.5" customHeight="1">
      <c r="F47" s="15"/>
      <c r="G47" s="22"/>
      <c r="H47" s="22"/>
      <c r="I47" s="7"/>
      <c r="J47" s="7"/>
      <c r="K47" s="7"/>
      <c r="M47" s="23"/>
    </row>
    <row r="48" spans="6:13" ht="10.5" customHeight="1">
      <c r="F48" s="15"/>
      <c r="G48" s="22"/>
      <c r="H48" s="22"/>
      <c r="I48" s="7"/>
      <c r="J48" s="7"/>
      <c r="K48" s="7"/>
      <c r="M48" s="23"/>
    </row>
    <row r="49" spans="6:13" ht="10.5" customHeight="1">
      <c r="F49" s="15"/>
      <c r="G49" s="22"/>
      <c r="H49" s="22"/>
      <c r="I49" s="7"/>
      <c r="J49" s="7"/>
      <c r="K49" s="7"/>
      <c r="M49" s="23"/>
    </row>
    <row r="50" spans="6:13" ht="10.5" customHeight="1">
      <c r="F50" s="15"/>
      <c r="G50" s="22"/>
      <c r="H50" s="22"/>
      <c r="I50" s="7"/>
      <c r="J50" s="7"/>
      <c r="K50" s="7"/>
      <c r="M50" s="23"/>
    </row>
    <row r="51" spans="2:13" ht="10.5" customHeight="1">
      <c r="B51" s="20"/>
      <c r="C51" s="20"/>
      <c r="F51" s="15"/>
      <c r="G51" s="22"/>
      <c r="H51" s="22"/>
      <c r="I51" s="7"/>
      <c r="K51" s="7"/>
      <c r="M51" s="23"/>
    </row>
    <row r="52" spans="2:13" ht="10.5" customHeight="1">
      <c r="B52" s="20"/>
      <c r="C52" s="20"/>
      <c r="F52" s="15"/>
      <c r="G52" s="22"/>
      <c r="H52" s="22"/>
      <c r="I52" s="7"/>
      <c r="K52" s="7"/>
      <c r="M52" s="23"/>
    </row>
    <row r="53" spans="2:13" ht="10.5" customHeight="1">
      <c r="B53" s="20"/>
      <c r="C53" s="20"/>
      <c r="F53" s="15"/>
      <c r="G53" s="22"/>
      <c r="H53" s="22"/>
      <c r="I53" s="7"/>
      <c r="K53" s="7"/>
      <c r="M53" s="23"/>
    </row>
    <row r="54" spans="6:13" ht="10.5" customHeight="1">
      <c r="F54" s="15"/>
      <c r="G54" s="22"/>
      <c r="H54" s="22"/>
      <c r="I54" s="7"/>
      <c r="K54" s="7"/>
      <c r="M54" s="23"/>
    </row>
    <row r="55" spans="6:13" ht="10.5" customHeight="1">
      <c r="F55" s="15"/>
      <c r="G55" s="22"/>
      <c r="H55" s="22"/>
      <c r="I55" s="7"/>
      <c r="K55" s="7"/>
      <c r="M55" s="23"/>
    </row>
    <row r="56" spans="6:13" ht="10.5" customHeight="1">
      <c r="F56" s="15"/>
      <c r="G56" s="22"/>
      <c r="H56" s="22"/>
      <c r="I56" s="7"/>
      <c r="K56" s="7"/>
      <c r="M56" s="23"/>
    </row>
    <row r="57" spans="6:13" ht="10.5" customHeight="1">
      <c r="F57" s="15"/>
      <c r="G57" s="22"/>
      <c r="H57" s="22"/>
      <c r="I57" s="7"/>
      <c r="K57" s="7"/>
      <c r="M57" s="23"/>
    </row>
    <row r="58" spans="6:13" ht="10.5" customHeight="1">
      <c r="F58" s="15"/>
      <c r="G58" s="22"/>
      <c r="H58" s="22"/>
      <c r="I58" s="7"/>
      <c r="K58" s="7"/>
      <c r="M58" s="23"/>
    </row>
    <row r="59" spans="6:13" ht="10.5" customHeight="1">
      <c r="F59" s="15"/>
      <c r="G59" s="22"/>
      <c r="H59" s="22"/>
      <c r="I59" s="7"/>
      <c r="K59" s="7"/>
      <c r="M59" s="23"/>
    </row>
    <row r="60" spans="6:13" ht="10.5" customHeight="1">
      <c r="F60" s="15"/>
      <c r="G60" s="22"/>
      <c r="H60" s="22"/>
      <c r="I60" s="7"/>
      <c r="K60" s="7"/>
      <c r="M60" s="23"/>
    </row>
    <row r="61" spans="6:13" ht="10.5" customHeight="1">
      <c r="F61" s="15"/>
      <c r="G61" s="22"/>
      <c r="H61" s="22"/>
      <c r="I61" s="7"/>
      <c r="K61" s="7"/>
      <c r="M61" s="23"/>
    </row>
    <row r="62" spans="7:13" ht="10.5" customHeight="1">
      <c r="G62" s="22"/>
      <c r="H62" s="22"/>
      <c r="M62" s="23"/>
    </row>
    <row r="63" ht="10.5" customHeight="1">
      <c r="M63" s="23"/>
    </row>
    <row r="64" spans="11:13" ht="10.5" customHeight="1">
      <c r="K64" s="7"/>
      <c r="M64" s="23"/>
    </row>
    <row r="65" ht="10.5" customHeight="1">
      <c r="M65" s="23"/>
    </row>
    <row r="66" spans="11:13" ht="10.5" customHeight="1">
      <c r="K66" s="30"/>
      <c r="M66" s="2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1">
      <selection activeCell="A1" sqref="A1:IV16384"/>
    </sheetView>
  </sheetViews>
  <sheetFormatPr defaultColWidth="10.421875" defaultRowHeight="12.75"/>
  <cols>
    <col min="1" max="1" width="7.421875" style="4" customWidth="1"/>
    <col min="2" max="2" width="16.00390625" style="26" customWidth="1"/>
    <col min="3" max="3" width="5.140625" style="26" bestFit="1" customWidth="1"/>
    <col min="4" max="4" width="14.00390625" style="21" customWidth="1"/>
    <col min="5" max="5" width="6.8515625" style="21" customWidth="1"/>
    <col min="6" max="6" width="7.421875" style="27" bestFit="1" customWidth="1"/>
    <col min="7" max="7" width="7.57421875" style="15" customWidth="1"/>
    <col min="8" max="8" width="7.140625" style="15" customWidth="1"/>
    <col min="9" max="9" width="7.7109375" style="28" bestFit="1" customWidth="1"/>
    <col min="10" max="10" width="2.28125" style="29" customWidth="1"/>
    <col min="11" max="11" width="5.421875" style="28" customWidth="1"/>
    <col min="12" max="12" width="6.57421875" style="22" hidden="1" customWidth="1"/>
    <col min="13" max="13" width="10.7109375" style="21" hidden="1" customWidth="1"/>
    <col min="14" max="14" width="10.00390625" style="24" bestFit="1" customWidth="1"/>
    <col min="15" max="15" width="8.00390625" style="24" customWidth="1"/>
    <col min="16" max="16" width="8.57421875" style="24" customWidth="1"/>
    <col min="17" max="16384" width="10.421875" style="21" customWidth="1"/>
  </cols>
  <sheetData>
    <row r="1" spans="1:15" s="4" customFormat="1" ht="12" customHeight="1">
      <c r="A1" s="1" t="s">
        <v>50</v>
      </c>
      <c r="B1" s="2"/>
      <c r="C1" s="2"/>
      <c r="D1" s="3"/>
      <c r="F1" s="5"/>
      <c r="I1" s="6"/>
      <c r="J1" s="7"/>
      <c r="K1" s="8"/>
      <c r="M1" s="9" t="s">
        <v>0</v>
      </c>
      <c r="O1" s="10"/>
    </row>
    <row r="2" spans="1:15" s="4" customFormat="1" ht="12" customHeight="1">
      <c r="A2" s="1"/>
      <c r="B2" s="2"/>
      <c r="C2" s="2"/>
      <c r="D2" s="3"/>
      <c r="F2" s="5"/>
      <c r="I2" s="6"/>
      <c r="J2" s="7"/>
      <c r="K2" s="8"/>
      <c r="M2" s="9"/>
      <c r="O2" s="10"/>
    </row>
    <row r="3" spans="1:17" s="4" customFormat="1" ht="56.25">
      <c r="A3" s="11" t="s">
        <v>22</v>
      </c>
      <c r="B3" s="3" t="s">
        <v>3</v>
      </c>
      <c r="C3" s="3" t="s">
        <v>2</v>
      </c>
      <c r="D3" s="10" t="s">
        <v>4</v>
      </c>
      <c r="E3" s="10" t="s">
        <v>5</v>
      </c>
      <c r="F3" s="12" t="s">
        <v>6</v>
      </c>
      <c r="G3" s="13" t="s">
        <v>7</v>
      </c>
      <c r="H3" s="13" t="s">
        <v>8</v>
      </c>
      <c r="I3" s="14" t="s">
        <v>32</v>
      </c>
      <c r="J3" s="15"/>
      <c r="K3" s="13" t="s">
        <v>20</v>
      </c>
      <c r="L3" s="13"/>
      <c r="M3" s="9"/>
      <c r="N3" s="16" t="s">
        <v>9</v>
      </c>
      <c r="O3" s="17" t="s">
        <v>10</v>
      </c>
      <c r="P3" s="16" t="s">
        <v>11</v>
      </c>
      <c r="Q3" s="18"/>
    </row>
    <row r="4" spans="1:16" s="4" customFormat="1" ht="11.25">
      <c r="A4" s="19"/>
      <c r="B4" s="3"/>
      <c r="C4" s="3"/>
      <c r="D4" s="10"/>
      <c r="E4" s="10"/>
      <c r="F4" s="12"/>
      <c r="G4" s="13"/>
      <c r="H4" s="13"/>
      <c r="I4" s="14"/>
      <c r="J4" s="15"/>
      <c r="K4" s="14"/>
      <c r="L4" s="13"/>
      <c r="M4" s="9"/>
      <c r="N4" s="16"/>
      <c r="O4" s="17"/>
      <c r="P4" s="16"/>
    </row>
    <row r="5" spans="1:17" ht="10.5" customHeight="1">
      <c r="A5" s="4" t="s">
        <v>15</v>
      </c>
      <c r="B5" s="20" t="s">
        <v>26</v>
      </c>
      <c r="C5" s="20" t="s">
        <v>29</v>
      </c>
      <c r="D5" s="21" t="s">
        <v>1</v>
      </c>
      <c r="F5" s="15">
        <f>547077+10000+5340+12000+12000+5160+3100+9100+7166+4500</f>
        <v>615443</v>
      </c>
      <c r="G5" s="22">
        <f aca="true" t="shared" si="0" ref="G5:G10">F5-(F5/1.12)</f>
        <v>65940.32142857148</v>
      </c>
      <c r="H5" s="22">
        <f aca="true" t="shared" si="1" ref="H5:H11">K5*132</f>
        <v>0</v>
      </c>
      <c r="I5" s="7">
        <f aca="true" t="shared" si="2" ref="I5:I10">F5/12</f>
        <v>51286.916666666664</v>
      </c>
      <c r="J5" s="7"/>
      <c r="K5" s="7">
        <v>0</v>
      </c>
      <c r="L5" s="22">
        <f aca="true" t="shared" si="3" ref="L5:L10">K5*146</f>
        <v>0</v>
      </c>
      <c r="M5" s="23">
        <f aca="true" t="shared" si="4" ref="M5:M11">(F5-L5)/12</f>
        <v>51286.916666666664</v>
      </c>
      <c r="N5" s="24">
        <f aca="true" t="shared" si="5" ref="N5:N11">F5/1752</f>
        <v>351.2802511415525</v>
      </c>
      <c r="O5" s="24">
        <f aca="true" t="shared" si="6" ref="O5:O10">N5*1.65</f>
        <v>579.6124143835616</v>
      </c>
      <c r="P5" s="24">
        <f>(F5-(803*146))/1950</f>
        <v>255.4897435897436</v>
      </c>
      <c r="Q5" s="25"/>
    </row>
    <row r="6" spans="1:17" ht="10.5" customHeight="1">
      <c r="A6" s="4" t="s">
        <v>16</v>
      </c>
      <c r="F6" s="15">
        <f>559593+10000+5340+12000+12000+5160+3100+9100+7166+4500</f>
        <v>627959</v>
      </c>
      <c r="G6" s="22">
        <f t="shared" si="0"/>
        <v>67281.32142857148</v>
      </c>
      <c r="H6" s="22">
        <f t="shared" si="1"/>
        <v>0</v>
      </c>
      <c r="I6" s="7">
        <f t="shared" si="2"/>
        <v>52329.916666666664</v>
      </c>
      <c r="J6" s="7"/>
      <c r="K6" s="7">
        <v>0</v>
      </c>
      <c r="L6" s="22">
        <f t="shared" si="3"/>
        <v>0</v>
      </c>
      <c r="M6" s="23">
        <f t="shared" si="4"/>
        <v>52329.916666666664</v>
      </c>
      <c r="N6" s="24">
        <f t="shared" si="5"/>
        <v>358.4240867579909</v>
      </c>
      <c r="O6" s="24">
        <f t="shared" si="6"/>
        <v>591.3997431506849</v>
      </c>
      <c r="P6" s="24">
        <f aca="true" t="shared" si="7" ref="P6:P11">(F6-(803*146))/1950</f>
        <v>261.9082051282051</v>
      </c>
      <c r="Q6" s="25"/>
    </row>
    <row r="7" spans="1:17" ht="10.5" customHeight="1">
      <c r="A7" s="4" t="s">
        <v>17</v>
      </c>
      <c r="B7" s="21"/>
      <c r="C7" s="21"/>
      <c r="F7" s="15">
        <f>572108+10000+5340+12000+12000+5160+3100+9100+7166+4500</f>
        <v>640474</v>
      </c>
      <c r="G7" s="22">
        <f t="shared" si="0"/>
        <v>68622.21428571432</v>
      </c>
      <c r="H7" s="22">
        <f t="shared" si="1"/>
        <v>0</v>
      </c>
      <c r="I7" s="7">
        <f t="shared" si="2"/>
        <v>53372.833333333336</v>
      </c>
      <c r="J7" s="7"/>
      <c r="K7" s="7">
        <v>0</v>
      </c>
      <c r="L7" s="22">
        <f t="shared" si="3"/>
        <v>0</v>
      </c>
      <c r="M7" s="23">
        <f t="shared" si="4"/>
        <v>53372.833333333336</v>
      </c>
      <c r="N7" s="24">
        <f t="shared" si="5"/>
        <v>365.5673515981735</v>
      </c>
      <c r="O7" s="24">
        <f t="shared" si="6"/>
        <v>603.1861301369862</v>
      </c>
      <c r="P7" s="24">
        <f t="shared" si="7"/>
        <v>268.32615384615383</v>
      </c>
      <c r="Q7" s="25"/>
    </row>
    <row r="8" spans="1:17" ht="10.5" customHeight="1">
      <c r="A8" s="4" t="s">
        <v>18</v>
      </c>
      <c r="B8" s="20" t="s">
        <v>35</v>
      </c>
      <c r="C8" s="20" t="s">
        <v>28</v>
      </c>
      <c r="D8" s="21" t="s">
        <v>31</v>
      </c>
      <c r="F8" s="15">
        <f>584625+10000+5340+12000+12000+5160+3100+9100+7166+4500</f>
        <v>652991</v>
      </c>
      <c r="G8" s="22">
        <f t="shared" si="0"/>
        <v>69963.32142857148</v>
      </c>
      <c r="H8" s="22">
        <f t="shared" si="1"/>
        <v>0</v>
      </c>
      <c r="I8" s="7">
        <f t="shared" si="2"/>
        <v>54415.916666666664</v>
      </c>
      <c r="J8" s="7"/>
      <c r="K8" s="7">
        <v>0</v>
      </c>
      <c r="L8" s="22">
        <f t="shared" si="3"/>
        <v>0</v>
      </c>
      <c r="M8" s="23">
        <f t="shared" si="4"/>
        <v>54415.916666666664</v>
      </c>
      <c r="N8" s="24">
        <f t="shared" si="5"/>
        <v>372.71175799086757</v>
      </c>
      <c r="O8" s="24">
        <f t="shared" si="6"/>
        <v>614.9744006849314</v>
      </c>
      <c r="P8" s="24">
        <f t="shared" si="7"/>
        <v>274.7451282051282</v>
      </c>
      <c r="Q8" s="25"/>
    </row>
    <row r="9" spans="1:17" ht="10.5" customHeight="1">
      <c r="A9" s="4" t="s">
        <v>19</v>
      </c>
      <c r="F9" s="15">
        <f>601031+10000+5340+12000+12000+5160+3100+9100+7166+4500</f>
        <v>669397</v>
      </c>
      <c r="G9" s="22">
        <f t="shared" si="0"/>
        <v>71721.10714285716</v>
      </c>
      <c r="H9" s="22">
        <f t="shared" si="1"/>
        <v>0</v>
      </c>
      <c r="I9" s="7">
        <f t="shared" si="2"/>
        <v>55783.083333333336</v>
      </c>
      <c r="J9" s="7"/>
      <c r="K9" s="7">
        <v>0</v>
      </c>
      <c r="L9" s="22">
        <f t="shared" si="3"/>
        <v>0</v>
      </c>
      <c r="M9" s="23">
        <f t="shared" si="4"/>
        <v>55783.083333333336</v>
      </c>
      <c r="N9" s="24">
        <f t="shared" si="5"/>
        <v>382.0759132420091</v>
      </c>
      <c r="O9" s="24">
        <f t="shared" si="6"/>
        <v>630.425256849315</v>
      </c>
      <c r="P9" s="24">
        <f t="shared" si="7"/>
        <v>283.15846153846155</v>
      </c>
      <c r="Q9" s="25"/>
    </row>
    <row r="10" spans="1:17" ht="10.5" customHeight="1">
      <c r="A10" s="4" t="s">
        <v>23</v>
      </c>
      <c r="F10" s="15">
        <f>616879+10000+5340+12000+12000+5160+3100+9100+7166+4500</f>
        <v>685245</v>
      </c>
      <c r="G10" s="22">
        <f t="shared" si="0"/>
        <v>73419.10714285716</v>
      </c>
      <c r="H10" s="22">
        <f t="shared" si="1"/>
        <v>0</v>
      </c>
      <c r="I10" s="7">
        <f t="shared" si="2"/>
        <v>57103.75</v>
      </c>
      <c r="J10" s="7"/>
      <c r="K10" s="7">
        <v>0</v>
      </c>
      <c r="L10" s="22">
        <f t="shared" si="3"/>
        <v>0</v>
      </c>
      <c r="M10" s="23">
        <f t="shared" si="4"/>
        <v>57103.75</v>
      </c>
      <c r="N10" s="24">
        <f t="shared" si="5"/>
        <v>391.12157534246575</v>
      </c>
      <c r="O10" s="24">
        <f t="shared" si="6"/>
        <v>645.3505993150684</v>
      </c>
      <c r="P10" s="24">
        <f t="shared" si="7"/>
        <v>291.28564102564104</v>
      </c>
      <c r="Q10" s="25"/>
    </row>
    <row r="11" spans="1:17" ht="10.5" customHeight="1">
      <c r="A11" s="4" t="s">
        <v>37</v>
      </c>
      <c r="F11" s="15">
        <f>629379+10000+6340+12000+12000+5160+3100+9100+7166+4500</f>
        <v>698745</v>
      </c>
      <c r="G11" s="22">
        <f>F11-(F11/1.12)</f>
        <v>74865.5357142858</v>
      </c>
      <c r="H11" s="22">
        <f t="shared" si="1"/>
        <v>0</v>
      </c>
      <c r="I11" s="7">
        <f>F11/12</f>
        <v>58228.75</v>
      </c>
      <c r="J11" s="7"/>
      <c r="K11" s="7">
        <v>0</v>
      </c>
      <c r="L11" s="22">
        <f>K11*146</f>
        <v>0</v>
      </c>
      <c r="M11" s="23">
        <f t="shared" si="4"/>
        <v>58228.75</v>
      </c>
      <c r="N11" s="24">
        <f t="shared" si="5"/>
        <v>398.82705479452056</v>
      </c>
      <c r="O11" s="24">
        <f>N11*1.65</f>
        <v>658.0646404109589</v>
      </c>
      <c r="P11" s="24">
        <f t="shared" si="7"/>
        <v>298.20871794871795</v>
      </c>
      <c r="Q11" s="25"/>
    </row>
    <row r="12" spans="1:17" ht="10.5" customHeight="1">
      <c r="A12" s="4" t="s">
        <v>49</v>
      </c>
      <c r="F12" s="15">
        <f>706245+4500</f>
        <v>710745</v>
      </c>
      <c r="G12" s="22">
        <f>F12-(F12/1.12)</f>
        <v>76151.25000000012</v>
      </c>
      <c r="H12" s="22">
        <f>K12*132</f>
        <v>0</v>
      </c>
      <c r="I12" s="7">
        <f>F12/12</f>
        <v>59228.75</v>
      </c>
      <c r="J12" s="7"/>
      <c r="K12" s="7">
        <v>0</v>
      </c>
      <c r="L12" s="22">
        <f>K12*146</f>
        <v>0</v>
      </c>
      <c r="M12" s="23">
        <f>(F12-L12)/12</f>
        <v>59228.75</v>
      </c>
      <c r="N12" s="24">
        <f>F12/1752</f>
        <v>405.6763698630137</v>
      </c>
      <c r="O12" s="24">
        <f>N12*1.65</f>
        <v>669.3660102739725</v>
      </c>
      <c r="P12" s="24">
        <f>(F12-(803*146))/1950</f>
        <v>304.3625641025641</v>
      </c>
      <c r="Q12" s="25"/>
    </row>
    <row r="13" ht="10.5" customHeight="1">
      <c r="M13" s="23"/>
    </row>
    <row r="14" ht="10.5" customHeight="1">
      <c r="M14" s="23"/>
    </row>
    <row r="15" ht="10.5" customHeight="1">
      <c r="M15" s="23"/>
    </row>
    <row r="16" ht="10.5" customHeight="1">
      <c r="M16" s="23"/>
    </row>
    <row r="17" ht="10.5" customHeight="1">
      <c r="M17" s="23"/>
    </row>
    <row r="18" ht="10.5" customHeight="1">
      <c r="M18" s="23"/>
    </row>
    <row r="19" ht="10.5" customHeight="1">
      <c r="M19" s="23"/>
    </row>
    <row r="20" ht="10.5" customHeight="1">
      <c r="M20" s="23"/>
    </row>
    <row r="21" ht="10.5" customHeight="1">
      <c r="M21" s="23"/>
    </row>
    <row r="22" ht="10.5" customHeight="1">
      <c r="M22" s="23"/>
    </row>
    <row r="23" spans="11:13" ht="10.5" customHeight="1">
      <c r="K23" s="30"/>
      <c r="M23" s="23"/>
    </row>
    <row r="24" ht="12" customHeight="1"/>
    <row r="25" spans="1:15" s="4" customFormat="1" ht="12" customHeight="1">
      <c r="A25" s="1"/>
      <c r="B25" s="2"/>
      <c r="C25" s="2"/>
      <c r="D25" s="3"/>
      <c r="F25" s="5"/>
      <c r="I25" s="6"/>
      <c r="J25" s="7"/>
      <c r="K25" s="8"/>
      <c r="M25" s="9"/>
      <c r="O25" s="10"/>
    </row>
    <row r="26" spans="1:15" s="4" customFormat="1" ht="12" customHeight="1">
      <c r="A26" s="1"/>
      <c r="B26" s="2"/>
      <c r="C26" s="2"/>
      <c r="D26" s="3"/>
      <c r="F26" s="5"/>
      <c r="I26" s="6"/>
      <c r="J26" s="7"/>
      <c r="K26" s="8"/>
      <c r="M26" s="9"/>
      <c r="O26" s="10"/>
    </row>
    <row r="27" spans="1:13" ht="10.5" customHeight="1">
      <c r="A27" s="9"/>
      <c r="D27" s="26"/>
      <c r="F27" s="15"/>
      <c r="G27" s="22"/>
      <c r="H27" s="22"/>
      <c r="I27" s="7"/>
      <c r="J27" s="7"/>
      <c r="K27" s="7"/>
      <c r="M27" s="23"/>
    </row>
    <row r="28" spans="1:13" ht="10.5" customHeight="1">
      <c r="A28" s="9"/>
      <c r="D28" s="26"/>
      <c r="F28" s="15"/>
      <c r="G28" s="22"/>
      <c r="H28" s="22"/>
      <c r="I28" s="7"/>
      <c r="J28" s="7"/>
      <c r="K28" s="7"/>
      <c r="M28" s="23"/>
    </row>
    <row r="29" spans="1:13" ht="10.5" customHeight="1">
      <c r="A29" s="9"/>
      <c r="F29" s="15"/>
      <c r="G29" s="22"/>
      <c r="H29" s="22"/>
      <c r="I29" s="7"/>
      <c r="J29" s="7"/>
      <c r="K29" s="7"/>
      <c r="M29" s="23"/>
    </row>
    <row r="30" spans="1:13" ht="10.5" customHeight="1">
      <c r="A30" s="9"/>
      <c r="F30" s="15"/>
      <c r="G30" s="22"/>
      <c r="H30" s="22"/>
      <c r="I30" s="7"/>
      <c r="J30" s="7"/>
      <c r="K30" s="7"/>
      <c r="M30" s="23"/>
    </row>
    <row r="31" spans="1:13" ht="10.5" customHeight="1">
      <c r="A31" s="9"/>
      <c r="F31" s="15"/>
      <c r="G31" s="22"/>
      <c r="H31" s="22"/>
      <c r="I31" s="7"/>
      <c r="J31" s="7"/>
      <c r="K31" s="7"/>
      <c r="M31" s="23"/>
    </row>
    <row r="32" spans="1:13" ht="10.5" customHeight="1">
      <c r="A32" s="9"/>
      <c r="F32" s="15"/>
      <c r="G32" s="22"/>
      <c r="H32" s="22"/>
      <c r="I32" s="7"/>
      <c r="J32" s="7"/>
      <c r="K32" s="7"/>
      <c r="M32" s="23"/>
    </row>
    <row r="33" spans="1:13" ht="10.5" customHeight="1">
      <c r="A33" s="9"/>
      <c r="F33" s="15"/>
      <c r="G33" s="22"/>
      <c r="H33" s="22"/>
      <c r="I33" s="7"/>
      <c r="J33" s="7"/>
      <c r="K33" s="7"/>
      <c r="M33" s="23"/>
    </row>
    <row r="34" spans="1:13" ht="10.5" customHeight="1">
      <c r="A34" s="9"/>
      <c r="F34" s="15"/>
      <c r="G34" s="22"/>
      <c r="H34" s="22"/>
      <c r="I34" s="7"/>
      <c r="J34" s="7"/>
      <c r="K34" s="7"/>
      <c r="M34" s="23"/>
    </row>
    <row r="35" spans="1:13" ht="10.5" customHeight="1">
      <c r="A35" s="9"/>
      <c r="F35" s="15"/>
      <c r="G35" s="22"/>
      <c r="H35" s="22"/>
      <c r="I35" s="7"/>
      <c r="J35" s="7"/>
      <c r="K35" s="7"/>
      <c r="M35" s="23"/>
    </row>
    <row r="36" spans="1:13" ht="10.5" customHeight="1">
      <c r="A36" s="9"/>
      <c r="F36" s="15"/>
      <c r="G36" s="22"/>
      <c r="H36" s="22"/>
      <c r="I36" s="7"/>
      <c r="J36" s="7"/>
      <c r="K36" s="7"/>
      <c r="M36" s="23"/>
    </row>
    <row r="37" spans="1:13" ht="10.5" customHeight="1">
      <c r="A37" s="9"/>
      <c r="F37" s="15"/>
      <c r="G37" s="22"/>
      <c r="H37" s="22"/>
      <c r="I37" s="7"/>
      <c r="J37" s="7"/>
      <c r="K37" s="7"/>
      <c r="M37" s="23"/>
    </row>
    <row r="38" spans="1:15" ht="10.5" customHeight="1">
      <c r="A38" s="9"/>
      <c r="F38" s="4"/>
      <c r="G38" s="22"/>
      <c r="H38" s="22"/>
      <c r="I38" s="7"/>
      <c r="J38" s="31"/>
      <c r="K38" s="31"/>
      <c r="L38" s="32"/>
      <c r="M38" s="33"/>
      <c r="N38" s="34"/>
      <c r="O38" s="35"/>
    </row>
    <row r="39" spans="1:13" ht="10.5" customHeight="1">
      <c r="A39" s="36"/>
      <c r="F39" s="15"/>
      <c r="G39" s="22"/>
      <c r="H39" s="22"/>
      <c r="I39" s="7"/>
      <c r="J39" s="7"/>
      <c r="K39" s="7"/>
      <c r="M39" s="23"/>
    </row>
    <row r="40" spans="1:13" ht="10.5" customHeight="1">
      <c r="A40" s="36"/>
      <c r="F40" s="15"/>
      <c r="G40" s="22"/>
      <c r="H40" s="22"/>
      <c r="I40" s="7"/>
      <c r="J40" s="7"/>
      <c r="K40" s="7"/>
      <c r="M40" s="23"/>
    </row>
    <row r="41" spans="1:13" ht="10.5" customHeight="1">
      <c r="A41" s="36"/>
      <c r="F41" s="15"/>
      <c r="G41" s="22"/>
      <c r="H41" s="22"/>
      <c r="I41" s="7"/>
      <c r="J41" s="7"/>
      <c r="K41" s="7"/>
      <c r="M41" s="23"/>
    </row>
    <row r="42" spans="1:13" ht="10.5" customHeight="1">
      <c r="A42" s="36"/>
      <c r="F42" s="15"/>
      <c r="G42" s="22"/>
      <c r="H42" s="22"/>
      <c r="I42" s="7"/>
      <c r="J42" s="7"/>
      <c r="K42" s="7"/>
      <c r="M42" s="23"/>
    </row>
    <row r="43" spans="6:13" ht="10.5" customHeight="1">
      <c r="F43" s="15"/>
      <c r="G43" s="22"/>
      <c r="H43" s="22"/>
      <c r="I43" s="7"/>
      <c r="J43" s="7"/>
      <c r="K43" s="7"/>
      <c r="M43" s="23"/>
    </row>
    <row r="44" spans="6:13" ht="10.5" customHeight="1">
      <c r="F44" s="15"/>
      <c r="G44" s="22"/>
      <c r="H44" s="22"/>
      <c r="I44" s="7"/>
      <c r="J44" s="7"/>
      <c r="K44" s="7"/>
      <c r="M44" s="23"/>
    </row>
    <row r="45" spans="6:13" ht="10.5" customHeight="1">
      <c r="F45" s="15"/>
      <c r="G45" s="22"/>
      <c r="H45" s="22"/>
      <c r="I45" s="7"/>
      <c r="J45" s="7"/>
      <c r="K45" s="7"/>
      <c r="M45" s="23"/>
    </row>
    <row r="46" spans="6:13" ht="10.5" customHeight="1">
      <c r="F46" s="15"/>
      <c r="G46" s="22"/>
      <c r="H46" s="22"/>
      <c r="I46" s="7"/>
      <c r="J46" s="7"/>
      <c r="K46" s="7"/>
      <c r="M46" s="23"/>
    </row>
    <row r="47" spans="6:13" ht="10.5" customHeight="1">
      <c r="F47" s="15"/>
      <c r="G47" s="22"/>
      <c r="H47" s="22"/>
      <c r="I47" s="7"/>
      <c r="J47" s="7"/>
      <c r="K47" s="7"/>
      <c r="M47" s="23"/>
    </row>
    <row r="48" spans="6:13" ht="10.5" customHeight="1">
      <c r="F48" s="15"/>
      <c r="G48" s="22"/>
      <c r="H48" s="22"/>
      <c r="I48" s="7"/>
      <c r="J48" s="7"/>
      <c r="K48" s="7"/>
      <c r="M48" s="23"/>
    </row>
    <row r="49" spans="6:13" ht="10.5" customHeight="1">
      <c r="F49" s="15"/>
      <c r="G49" s="22"/>
      <c r="H49" s="22"/>
      <c r="I49" s="7"/>
      <c r="J49" s="7"/>
      <c r="K49" s="7"/>
      <c r="M49" s="23"/>
    </row>
    <row r="50" spans="6:13" ht="10.5" customHeight="1">
      <c r="F50" s="15"/>
      <c r="G50" s="22"/>
      <c r="H50" s="22"/>
      <c r="I50" s="7"/>
      <c r="J50" s="7"/>
      <c r="K50" s="7"/>
      <c r="M50" s="23"/>
    </row>
    <row r="51" spans="2:13" ht="10.5" customHeight="1">
      <c r="B51" s="20"/>
      <c r="C51" s="20"/>
      <c r="F51" s="15"/>
      <c r="G51" s="22"/>
      <c r="H51" s="22"/>
      <c r="I51" s="7"/>
      <c r="K51" s="7"/>
      <c r="M51" s="23"/>
    </row>
    <row r="52" spans="2:13" ht="10.5" customHeight="1">
      <c r="B52" s="20"/>
      <c r="C52" s="20"/>
      <c r="F52" s="15"/>
      <c r="G52" s="22"/>
      <c r="H52" s="22"/>
      <c r="I52" s="7"/>
      <c r="K52" s="7"/>
      <c r="M52" s="23"/>
    </row>
    <row r="53" spans="2:13" ht="10.5" customHeight="1">
      <c r="B53" s="20"/>
      <c r="C53" s="20"/>
      <c r="F53" s="15"/>
      <c r="G53" s="22"/>
      <c r="H53" s="22"/>
      <c r="I53" s="7"/>
      <c r="K53" s="7"/>
      <c r="M53" s="23"/>
    </row>
    <row r="54" spans="6:13" ht="10.5" customHeight="1">
      <c r="F54" s="15"/>
      <c r="G54" s="22"/>
      <c r="H54" s="22"/>
      <c r="I54" s="7"/>
      <c r="K54" s="7"/>
      <c r="M54" s="23"/>
    </row>
    <row r="55" spans="6:13" ht="10.5" customHeight="1">
      <c r="F55" s="15"/>
      <c r="G55" s="22"/>
      <c r="H55" s="22"/>
      <c r="I55" s="7"/>
      <c r="K55" s="7"/>
      <c r="M55" s="23"/>
    </row>
    <row r="56" spans="6:13" ht="10.5" customHeight="1">
      <c r="F56" s="15"/>
      <c r="G56" s="22"/>
      <c r="H56" s="22"/>
      <c r="I56" s="7"/>
      <c r="K56" s="7"/>
      <c r="M56" s="23"/>
    </row>
    <row r="57" spans="6:13" ht="10.5" customHeight="1">
      <c r="F57" s="15"/>
      <c r="G57" s="22"/>
      <c r="H57" s="22"/>
      <c r="I57" s="7"/>
      <c r="K57" s="7"/>
      <c r="M57" s="23"/>
    </row>
    <row r="58" spans="6:13" ht="10.5" customHeight="1">
      <c r="F58" s="15"/>
      <c r="G58" s="22"/>
      <c r="H58" s="22"/>
      <c r="I58" s="7"/>
      <c r="K58" s="7"/>
      <c r="M58" s="23"/>
    </row>
    <row r="59" spans="6:13" ht="10.5" customHeight="1">
      <c r="F59" s="15"/>
      <c r="G59" s="22"/>
      <c r="H59" s="22"/>
      <c r="I59" s="7"/>
      <c r="K59" s="7"/>
      <c r="M59" s="23"/>
    </row>
    <row r="60" spans="6:13" ht="10.5" customHeight="1">
      <c r="F60" s="15"/>
      <c r="G60" s="22"/>
      <c r="H60" s="22"/>
      <c r="I60" s="7"/>
      <c r="K60" s="7"/>
      <c r="M60" s="23"/>
    </row>
    <row r="61" spans="6:13" ht="10.5" customHeight="1">
      <c r="F61" s="15"/>
      <c r="G61" s="22"/>
      <c r="H61" s="22"/>
      <c r="I61" s="7"/>
      <c r="K61" s="7"/>
      <c r="M61" s="23"/>
    </row>
    <row r="62" spans="7:13" ht="10.5" customHeight="1">
      <c r="G62" s="22"/>
      <c r="H62" s="22"/>
      <c r="M62" s="23"/>
    </row>
    <row r="63" ht="10.5" customHeight="1">
      <c r="M63" s="23"/>
    </row>
    <row r="64" spans="11:13" ht="10.5" customHeight="1">
      <c r="K64" s="7"/>
      <c r="M64" s="23"/>
    </row>
    <row r="65" ht="10.5" customHeight="1">
      <c r="M65" s="23"/>
    </row>
    <row r="66" spans="11:13" ht="10.5" customHeight="1">
      <c r="K66" s="30"/>
      <c r="M66" s="2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5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79"/>
  <sheetViews>
    <sheetView zoomScalePageLayoutView="0" workbookViewId="0" topLeftCell="A1">
      <selection activeCell="D1" sqref="A1:IV16384"/>
    </sheetView>
  </sheetViews>
  <sheetFormatPr defaultColWidth="10.421875" defaultRowHeight="12.75"/>
  <cols>
    <col min="1" max="1" width="7.421875" style="4" customWidth="1"/>
    <col min="2" max="2" width="17.421875" style="26" customWidth="1"/>
    <col min="3" max="3" width="5.140625" style="26" bestFit="1" customWidth="1"/>
    <col min="4" max="4" width="14.00390625" style="21" customWidth="1"/>
    <col min="5" max="5" width="7.421875" style="21" bestFit="1" customWidth="1"/>
    <col min="6" max="6" width="7.421875" style="27" bestFit="1" customWidth="1"/>
    <col min="7" max="7" width="7.57421875" style="15" customWidth="1"/>
    <col min="8" max="8" width="7.140625" style="15" customWidth="1"/>
    <col min="9" max="9" width="7.7109375" style="28" bestFit="1" customWidth="1"/>
    <col min="10" max="10" width="2.28125" style="29" customWidth="1"/>
    <col min="11" max="11" width="5.421875" style="28" customWidth="1"/>
    <col min="12" max="12" width="6.57421875" style="22" hidden="1" customWidth="1"/>
    <col min="13" max="13" width="10.7109375" style="21" hidden="1" customWidth="1"/>
    <col min="14" max="14" width="10.00390625" style="24" bestFit="1" customWidth="1"/>
    <col min="15" max="15" width="8.00390625" style="24" customWidth="1"/>
    <col min="16" max="16" width="8.57421875" style="24" customWidth="1"/>
    <col min="17" max="16384" width="10.421875" style="21" customWidth="1"/>
  </cols>
  <sheetData>
    <row r="1" spans="1:15" s="4" customFormat="1" ht="12" customHeight="1">
      <c r="A1" s="1" t="s">
        <v>51</v>
      </c>
      <c r="B1" s="2"/>
      <c r="C1" s="2"/>
      <c r="D1" s="3"/>
      <c r="F1" s="5"/>
      <c r="I1" s="6"/>
      <c r="J1" s="7"/>
      <c r="K1" s="8"/>
      <c r="M1" s="9" t="s">
        <v>0</v>
      </c>
      <c r="O1" s="10"/>
    </row>
    <row r="2" spans="1:15" s="4" customFormat="1" ht="12" customHeight="1">
      <c r="A2" s="1"/>
      <c r="B2" s="2"/>
      <c r="C2" s="2"/>
      <c r="D2" s="3"/>
      <c r="F2" s="5"/>
      <c r="I2" s="6"/>
      <c r="J2" s="7"/>
      <c r="K2" s="8"/>
      <c r="M2" s="9"/>
      <c r="O2" s="10"/>
    </row>
    <row r="3" spans="1:17" s="4" customFormat="1" ht="56.25">
      <c r="A3" s="11" t="s">
        <v>22</v>
      </c>
      <c r="B3" s="3" t="s">
        <v>3</v>
      </c>
      <c r="C3" s="3" t="s">
        <v>2</v>
      </c>
      <c r="D3" s="10" t="s">
        <v>4</v>
      </c>
      <c r="E3" s="10" t="s">
        <v>5</v>
      </c>
      <c r="F3" s="12" t="s">
        <v>6</v>
      </c>
      <c r="G3" s="13" t="s">
        <v>7</v>
      </c>
      <c r="H3" s="13" t="s">
        <v>8</v>
      </c>
      <c r="I3" s="14" t="s">
        <v>32</v>
      </c>
      <c r="J3" s="15"/>
      <c r="K3" s="13" t="s">
        <v>20</v>
      </c>
      <c r="L3" s="13"/>
      <c r="M3" s="9"/>
      <c r="N3" s="16" t="s">
        <v>9</v>
      </c>
      <c r="O3" s="17" t="s">
        <v>10</v>
      </c>
      <c r="P3" s="16" t="s">
        <v>11</v>
      </c>
      <c r="Q3" s="18"/>
    </row>
    <row r="4" spans="1:17" s="4" customFormat="1" ht="12.75">
      <c r="A4" s="11"/>
      <c r="B4" s="3"/>
      <c r="C4" s="3"/>
      <c r="D4" s="10"/>
      <c r="E4" s="10"/>
      <c r="F4" s="12"/>
      <c r="G4" s="13"/>
      <c r="H4" s="13"/>
      <c r="I4" s="14"/>
      <c r="J4" s="15"/>
      <c r="K4" s="13"/>
      <c r="L4" s="13"/>
      <c r="M4" s="9"/>
      <c r="N4" s="16"/>
      <c r="O4" s="17"/>
      <c r="P4" s="16"/>
      <c r="Q4" s="18"/>
    </row>
    <row r="5" spans="1:18" s="38" customFormat="1" ht="10.5" customHeight="1">
      <c r="A5" s="4" t="s">
        <v>53</v>
      </c>
      <c r="B5" s="37" t="s">
        <v>26</v>
      </c>
      <c r="C5" s="37" t="s">
        <v>29</v>
      </c>
      <c r="D5" s="37" t="s">
        <v>1</v>
      </c>
      <c r="F5" s="15">
        <f>544766+10000+5340+12000+12000+5160+3100+9100+7166+4500</f>
        <v>613132</v>
      </c>
      <c r="G5" s="22">
        <f>F5-(F5/1.12)</f>
        <v>65692.71428571432</v>
      </c>
      <c r="H5" s="22">
        <f aca="true" t="shared" si="0" ref="H5:H16">J5*132</f>
        <v>0</v>
      </c>
      <c r="I5" s="7">
        <f aca="true" t="shared" si="1" ref="I5:I13">F5/12</f>
        <v>51094.333333333336</v>
      </c>
      <c r="J5" s="29">
        <v>0</v>
      </c>
      <c r="K5" s="29">
        <v>0</v>
      </c>
      <c r="L5" s="22">
        <f aca="true" t="shared" si="2" ref="L5:L14">J5*146</f>
        <v>0</v>
      </c>
      <c r="M5" s="23">
        <f aca="true" t="shared" si="3" ref="M5:M16">(F5-L5)/12</f>
        <v>51094.333333333336</v>
      </c>
      <c r="N5" s="24">
        <f aca="true" t="shared" si="4" ref="N5:N16">F5/1752</f>
        <v>349.96118721461187</v>
      </c>
      <c r="O5" s="24">
        <f aca="true" t="shared" si="5" ref="O5:O14">N5*1.65</f>
        <v>577.4359589041095</v>
      </c>
      <c r="P5" s="24">
        <f aca="true" t="shared" si="6" ref="P5:P16">(F5-(803*146))/1950</f>
        <v>254.30461538461537</v>
      </c>
      <c r="Q5" s="21"/>
      <c r="R5" s="21"/>
    </row>
    <row r="6" spans="1:18" s="38" customFormat="1" ht="10.5" customHeight="1">
      <c r="A6" s="4" t="s">
        <v>54</v>
      </c>
      <c r="B6" s="26"/>
      <c r="C6" s="21"/>
      <c r="F6" s="15">
        <f>556816+10000+5340+12000+12000+5160+3100+9100+7166+4500</f>
        <v>625182</v>
      </c>
      <c r="G6" s="22">
        <f>F6-(F6/1.12)</f>
        <v>66983.7857142858</v>
      </c>
      <c r="H6" s="22">
        <f t="shared" si="0"/>
        <v>0</v>
      </c>
      <c r="I6" s="7">
        <f t="shared" si="1"/>
        <v>52098.5</v>
      </c>
      <c r="J6" s="29">
        <v>0</v>
      </c>
      <c r="K6" s="29">
        <v>0</v>
      </c>
      <c r="L6" s="22">
        <f t="shared" si="2"/>
        <v>0</v>
      </c>
      <c r="M6" s="23">
        <f t="shared" si="3"/>
        <v>52098.5</v>
      </c>
      <c r="N6" s="24">
        <f t="shared" si="4"/>
        <v>356.8390410958904</v>
      </c>
      <c r="O6" s="24">
        <f t="shared" si="5"/>
        <v>588.7844178082191</v>
      </c>
      <c r="P6" s="24">
        <f t="shared" si="6"/>
        <v>260.48410256410256</v>
      </c>
      <c r="Q6" s="21"/>
      <c r="R6" s="21"/>
    </row>
    <row r="7" spans="1:18" s="38" customFormat="1" ht="10.5" customHeight="1">
      <c r="A7" s="4" t="s">
        <v>55</v>
      </c>
      <c r="B7" s="26"/>
      <c r="C7" s="21"/>
      <c r="F7" s="15">
        <f>568864+10000+5340+12000+12000+5160+3100+9100+7166+4500</f>
        <v>637230</v>
      </c>
      <c r="G7" s="22">
        <f>F7-(F7/1.12)</f>
        <v>68274.64285714296</v>
      </c>
      <c r="H7" s="22">
        <f t="shared" si="0"/>
        <v>0</v>
      </c>
      <c r="I7" s="7">
        <f t="shared" si="1"/>
        <v>53102.5</v>
      </c>
      <c r="J7" s="29">
        <v>0</v>
      </c>
      <c r="K7" s="29">
        <v>0</v>
      </c>
      <c r="L7" s="22">
        <f t="shared" si="2"/>
        <v>0</v>
      </c>
      <c r="M7" s="23">
        <f t="shared" si="3"/>
        <v>53102.5</v>
      </c>
      <c r="N7" s="24">
        <f t="shared" si="4"/>
        <v>363.7157534246575</v>
      </c>
      <c r="O7" s="24">
        <f t="shared" si="5"/>
        <v>600.1309931506848</v>
      </c>
      <c r="P7" s="24">
        <f t="shared" si="6"/>
        <v>266.6625641025641</v>
      </c>
      <c r="Q7" s="21"/>
      <c r="R7" s="21"/>
    </row>
    <row r="8" spans="1:18" s="38" customFormat="1" ht="10.5" customHeight="1">
      <c r="A8" s="4" t="s">
        <v>56</v>
      </c>
      <c r="B8" s="26"/>
      <c r="C8" s="21"/>
      <c r="F8" s="15">
        <f>584808+10000+5340+12000+12000+5160+3100+9100+7166+4500</f>
        <v>653174</v>
      </c>
      <c r="G8" s="22">
        <f>F8-(F8/1.12)</f>
        <v>69982.92857142864</v>
      </c>
      <c r="H8" s="22">
        <f t="shared" si="0"/>
        <v>0</v>
      </c>
      <c r="I8" s="7">
        <f t="shared" si="1"/>
        <v>54431.166666666664</v>
      </c>
      <c r="J8" s="29">
        <v>0</v>
      </c>
      <c r="K8" s="29">
        <v>0</v>
      </c>
      <c r="L8" s="22">
        <f t="shared" si="2"/>
        <v>0</v>
      </c>
      <c r="M8" s="23">
        <f t="shared" si="3"/>
        <v>54431.166666666664</v>
      </c>
      <c r="N8" s="24">
        <f t="shared" si="4"/>
        <v>372.8162100456621</v>
      </c>
      <c r="O8" s="24">
        <f t="shared" si="5"/>
        <v>615.1467465753425</v>
      </c>
      <c r="P8" s="24">
        <f t="shared" si="6"/>
        <v>274.8389743589744</v>
      </c>
      <c r="Q8" s="21"/>
      <c r="R8" s="21"/>
    </row>
    <row r="9" spans="1:18" s="38" customFormat="1" ht="10.5" customHeight="1">
      <c r="A9" s="4" t="s">
        <v>57</v>
      </c>
      <c r="B9" s="26"/>
      <c r="C9" s="21"/>
      <c r="F9" s="15">
        <v>656978</v>
      </c>
      <c r="G9" s="22">
        <f aca="true" t="shared" si="7" ref="G9:G16">F9-(F9/1.12)</f>
        <v>70390.5</v>
      </c>
      <c r="H9" s="22">
        <f t="shared" si="0"/>
        <v>0</v>
      </c>
      <c r="I9" s="7">
        <f>F9/12</f>
        <v>54748.166666666664</v>
      </c>
      <c r="J9" s="29">
        <v>0</v>
      </c>
      <c r="K9" s="29">
        <v>0</v>
      </c>
      <c r="L9" s="22">
        <f>J9*146</f>
        <v>0</v>
      </c>
      <c r="M9" s="23">
        <f t="shared" si="3"/>
        <v>54748.166666666664</v>
      </c>
      <c r="N9" s="24">
        <f t="shared" si="4"/>
        <v>374.98744292237444</v>
      </c>
      <c r="O9" s="24">
        <f>N9*1.65</f>
        <v>618.7292808219178</v>
      </c>
      <c r="P9" s="24">
        <f t="shared" si="6"/>
        <v>276.7897435897436</v>
      </c>
      <c r="Q9" s="21"/>
      <c r="R9" s="21"/>
    </row>
    <row r="10" spans="1:18" s="38" customFormat="1" ht="10.5" customHeight="1">
      <c r="A10" s="4" t="s">
        <v>58</v>
      </c>
      <c r="B10" s="26"/>
      <c r="C10" s="21"/>
      <c r="F10" s="15">
        <v>661978</v>
      </c>
      <c r="G10" s="22">
        <f t="shared" si="7"/>
        <v>70926.21428571432</v>
      </c>
      <c r="H10" s="22">
        <f t="shared" si="0"/>
        <v>0</v>
      </c>
      <c r="I10" s="7">
        <f>F10/12</f>
        <v>55164.833333333336</v>
      </c>
      <c r="J10" s="29">
        <v>0</v>
      </c>
      <c r="K10" s="29">
        <v>0</v>
      </c>
      <c r="L10" s="22">
        <f>J10*146</f>
        <v>0</v>
      </c>
      <c r="M10" s="23">
        <f t="shared" si="3"/>
        <v>55164.833333333336</v>
      </c>
      <c r="N10" s="24">
        <f t="shared" si="4"/>
        <v>377.8413242009132</v>
      </c>
      <c r="O10" s="24">
        <f>N10*1.65</f>
        <v>623.4381849315067</v>
      </c>
      <c r="P10" s="24">
        <f t="shared" si="6"/>
        <v>279.3538461538462</v>
      </c>
      <c r="Q10" s="21"/>
      <c r="R10" s="21"/>
    </row>
    <row r="11" spans="1:18" s="38" customFormat="1" ht="10.5" customHeight="1">
      <c r="A11" s="4" t="s">
        <v>59</v>
      </c>
      <c r="B11" s="26"/>
      <c r="C11" s="21"/>
      <c r="F11" s="15">
        <v>666978</v>
      </c>
      <c r="G11" s="22">
        <f t="shared" si="7"/>
        <v>71461.92857142864</v>
      </c>
      <c r="H11" s="22">
        <f t="shared" si="0"/>
        <v>0</v>
      </c>
      <c r="I11" s="7">
        <f>F11/12</f>
        <v>55581.5</v>
      </c>
      <c r="J11" s="29">
        <v>0</v>
      </c>
      <c r="K11" s="29">
        <v>0</v>
      </c>
      <c r="L11" s="22">
        <f>J11*146</f>
        <v>0</v>
      </c>
      <c r="M11" s="23">
        <f t="shared" si="3"/>
        <v>55581.5</v>
      </c>
      <c r="N11" s="24">
        <f t="shared" si="4"/>
        <v>380.69520547945206</v>
      </c>
      <c r="O11" s="24">
        <f>N11*1.65</f>
        <v>628.1470890410959</v>
      </c>
      <c r="P11" s="24">
        <f t="shared" si="6"/>
        <v>281.9179487179487</v>
      </c>
      <c r="Q11" s="21"/>
      <c r="R11" s="21"/>
    </row>
    <row r="12" spans="1:18" s="38" customFormat="1" ht="10.5" customHeight="1">
      <c r="A12" s="4" t="s">
        <v>60</v>
      </c>
      <c r="B12" s="26"/>
      <c r="C12" s="21"/>
      <c r="F12" s="15">
        <v>671978</v>
      </c>
      <c r="G12" s="22">
        <f t="shared" si="7"/>
        <v>71997.64285714296</v>
      </c>
      <c r="H12" s="22">
        <f t="shared" si="0"/>
        <v>0</v>
      </c>
      <c r="I12" s="7">
        <f>F12/12</f>
        <v>55998.166666666664</v>
      </c>
      <c r="J12" s="29">
        <v>0</v>
      </c>
      <c r="K12" s="29">
        <v>0</v>
      </c>
      <c r="L12" s="22">
        <f>J12*146</f>
        <v>0</v>
      </c>
      <c r="M12" s="23">
        <f t="shared" si="3"/>
        <v>55998.166666666664</v>
      </c>
      <c r="N12" s="24">
        <f t="shared" si="4"/>
        <v>383.5490867579909</v>
      </c>
      <c r="O12" s="24">
        <f>N12*1.65</f>
        <v>632.855993150685</v>
      </c>
      <c r="P12" s="24">
        <f t="shared" si="6"/>
        <v>284.48205128205126</v>
      </c>
      <c r="Q12" s="21"/>
      <c r="R12" s="21"/>
    </row>
    <row r="13" spans="1:18" s="38" customFormat="1" ht="10.5" customHeight="1">
      <c r="A13" s="4" t="s">
        <v>61</v>
      </c>
      <c r="B13" s="26"/>
      <c r="C13" s="21"/>
      <c r="F13" s="15">
        <v>676978</v>
      </c>
      <c r="G13" s="22">
        <f t="shared" si="7"/>
        <v>72533.35714285716</v>
      </c>
      <c r="H13" s="22">
        <f t="shared" si="0"/>
        <v>0</v>
      </c>
      <c r="I13" s="7">
        <f t="shared" si="1"/>
        <v>56414.833333333336</v>
      </c>
      <c r="J13" s="29">
        <v>0</v>
      </c>
      <c r="K13" s="29">
        <v>0</v>
      </c>
      <c r="L13" s="22">
        <f t="shared" si="2"/>
        <v>0</v>
      </c>
      <c r="M13" s="23">
        <f t="shared" si="3"/>
        <v>56414.833333333336</v>
      </c>
      <c r="N13" s="24">
        <f t="shared" si="4"/>
        <v>386.40296803652967</v>
      </c>
      <c r="O13" s="24">
        <f t="shared" si="5"/>
        <v>637.5648972602739</v>
      </c>
      <c r="P13" s="24">
        <f t="shared" si="6"/>
        <v>287.04615384615386</v>
      </c>
      <c r="Q13" s="21"/>
      <c r="R13" s="21"/>
    </row>
    <row r="14" spans="1:18" s="38" customFormat="1" ht="10.5" customHeight="1">
      <c r="A14" s="4" t="s">
        <v>62</v>
      </c>
      <c r="B14" s="26"/>
      <c r="C14" s="21"/>
      <c r="F14" s="15">
        <v>681978</v>
      </c>
      <c r="G14" s="22">
        <f t="shared" si="7"/>
        <v>73069.07142857148</v>
      </c>
      <c r="H14" s="22">
        <f t="shared" si="0"/>
        <v>0</v>
      </c>
      <c r="I14" s="7">
        <f>F14/12</f>
        <v>56831.5</v>
      </c>
      <c r="J14" s="29">
        <v>0</v>
      </c>
      <c r="K14" s="29">
        <v>0</v>
      </c>
      <c r="L14" s="22">
        <f t="shared" si="2"/>
        <v>0</v>
      </c>
      <c r="M14" s="23">
        <f t="shared" si="3"/>
        <v>56831.5</v>
      </c>
      <c r="N14" s="24">
        <f t="shared" si="4"/>
        <v>389.2568493150685</v>
      </c>
      <c r="O14" s="24">
        <f t="shared" si="5"/>
        <v>642.273801369863</v>
      </c>
      <c r="P14" s="24">
        <f t="shared" si="6"/>
        <v>289.6102564102564</v>
      </c>
      <c r="Q14" s="21"/>
      <c r="R14" s="21"/>
    </row>
    <row r="15" spans="1:18" s="38" customFormat="1" ht="10.5" customHeight="1">
      <c r="A15" s="4" t="s">
        <v>63</v>
      </c>
      <c r="B15" s="26"/>
      <c r="C15" s="21"/>
      <c r="F15" s="15">
        <v>686978</v>
      </c>
      <c r="G15" s="22">
        <f t="shared" si="7"/>
        <v>73604.7857142858</v>
      </c>
      <c r="H15" s="22">
        <f t="shared" si="0"/>
        <v>0</v>
      </c>
      <c r="I15" s="7">
        <f>F15/12</f>
        <v>57248.166666666664</v>
      </c>
      <c r="J15" s="29">
        <v>0</v>
      </c>
      <c r="K15" s="29">
        <v>0</v>
      </c>
      <c r="L15" s="22">
        <f>J15*146</f>
        <v>0</v>
      </c>
      <c r="M15" s="23">
        <f t="shared" si="3"/>
        <v>57248.166666666664</v>
      </c>
      <c r="N15" s="24">
        <f t="shared" si="4"/>
        <v>392.1107305936073</v>
      </c>
      <c r="O15" s="24">
        <f>N15*1.65</f>
        <v>646.982705479452</v>
      </c>
      <c r="P15" s="24">
        <f t="shared" si="6"/>
        <v>292.174358974359</v>
      </c>
      <c r="Q15" s="21"/>
      <c r="R15" s="21"/>
    </row>
    <row r="16" spans="1:18" s="38" customFormat="1" ht="10.5" customHeight="1">
      <c r="A16" s="4" t="s">
        <v>64</v>
      </c>
      <c r="B16" s="26"/>
      <c r="C16" s="21"/>
      <c r="F16" s="15">
        <v>691978</v>
      </c>
      <c r="G16" s="22">
        <f t="shared" si="7"/>
        <v>74140.50000000012</v>
      </c>
      <c r="H16" s="22">
        <f t="shared" si="0"/>
        <v>0</v>
      </c>
      <c r="I16" s="7">
        <f>F16/12</f>
        <v>57664.833333333336</v>
      </c>
      <c r="J16" s="29">
        <v>0</v>
      </c>
      <c r="K16" s="29">
        <v>0</v>
      </c>
      <c r="L16" s="22">
        <f>J16*146</f>
        <v>0</v>
      </c>
      <c r="M16" s="23">
        <f t="shared" si="3"/>
        <v>57664.833333333336</v>
      </c>
      <c r="N16" s="24">
        <f t="shared" si="4"/>
        <v>394.9646118721461</v>
      </c>
      <c r="O16" s="24">
        <f>N16*1.65</f>
        <v>651.691609589041</v>
      </c>
      <c r="P16" s="24">
        <f t="shared" si="6"/>
        <v>294.73846153846154</v>
      </c>
      <c r="Q16" s="21"/>
      <c r="R16" s="21"/>
    </row>
    <row r="17" spans="1:16" s="4" customFormat="1" ht="11.25">
      <c r="A17" s="19"/>
      <c r="B17" s="3"/>
      <c r="C17" s="3"/>
      <c r="D17" s="10"/>
      <c r="E17" s="10"/>
      <c r="F17" s="12"/>
      <c r="G17" s="13"/>
      <c r="H17" s="13"/>
      <c r="I17" s="14"/>
      <c r="J17" s="15"/>
      <c r="K17" s="14"/>
      <c r="L17" s="13"/>
      <c r="M17" s="9"/>
      <c r="N17" s="16"/>
      <c r="O17" s="17"/>
      <c r="P17" s="16"/>
    </row>
    <row r="18" spans="1:17" ht="10.5" customHeight="1">
      <c r="A18" s="4" t="s">
        <v>12</v>
      </c>
      <c r="B18" s="20" t="s">
        <v>35</v>
      </c>
      <c r="C18" s="20" t="s">
        <v>28</v>
      </c>
      <c r="D18" s="21" t="s">
        <v>31</v>
      </c>
      <c r="F18" s="15">
        <f>598933+5160+3100+9100+7166+4500</f>
        <v>627959</v>
      </c>
      <c r="G18" s="22">
        <f aca="true" t="shared" si="8" ref="G18:G26">F18-(F18/1.12)</f>
        <v>67281.32142857148</v>
      </c>
      <c r="H18" s="22">
        <f aca="true" t="shared" si="9" ref="H18:H26">K18*132</f>
        <v>0</v>
      </c>
      <c r="I18" s="7">
        <f aca="true" t="shared" si="10" ref="I18:I26">F18/12</f>
        <v>52329.916666666664</v>
      </c>
      <c r="J18" s="7"/>
      <c r="K18" s="7">
        <v>0</v>
      </c>
      <c r="L18" s="22">
        <f aca="true" t="shared" si="11" ref="L18:L26">K18*146</f>
        <v>0</v>
      </c>
      <c r="M18" s="23">
        <f aca="true" t="shared" si="12" ref="M18:M26">(F18-L18)/12</f>
        <v>52329.916666666664</v>
      </c>
      <c r="N18" s="24">
        <f aca="true" t="shared" si="13" ref="N18:N26">F18/1752</f>
        <v>358.4240867579909</v>
      </c>
      <c r="O18" s="24">
        <f aca="true" t="shared" si="14" ref="O18:O26">N18*1.65</f>
        <v>591.3997431506849</v>
      </c>
      <c r="P18" s="24">
        <f aca="true" t="shared" si="15" ref="P18:P29">(F18-(813*146))/1950</f>
        <v>261.1594871794872</v>
      </c>
      <c r="Q18" s="25"/>
    </row>
    <row r="19" spans="1:17" ht="10.5" customHeight="1">
      <c r="A19" s="4" t="s">
        <v>13</v>
      </c>
      <c r="F19" s="15">
        <f>611448+5160+3100+9100+7166+4500</f>
        <v>640474</v>
      </c>
      <c r="G19" s="22">
        <f t="shared" si="8"/>
        <v>68622.21428571432</v>
      </c>
      <c r="H19" s="22">
        <f t="shared" si="9"/>
        <v>0</v>
      </c>
      <c r="I19" s="7">
        <f t="shared" si="10"/>
        <v>53372.833333333336</v>
      </c>
      <c r="J19" s="7"/>
      <c r="K19" s="7">
        <v>0</v>
      </c>
      <c r="L19" s="22">
        <f t="shared" si="11"/>
        <v>0</v>
      </c>
      <c r="M19" s="23">
        <f t="shared" si="12"/>
        <v>53372.833333333336</v>
      </c>
      <c r="N19" s="24">
        <f t="shared" si="13"/>
        <v>365.5673515981735</v>
      </c>
      <c r="O19" s="24">
        <f t="shared" si="14"/>
        <v>603.1861301369862</v>
      </c>
      <c r="P19" s="24">
        <f t="shared" si="15"/>
        <v>267.5774358974359</v>
      </c>
      <c r="Q19" s="25"/>
    </row>
    <row r="20" spans="1:17" ht="10.5" customHeight="1">
      <c r="A20" s="4" t="s">
        <v>14</v>
      </c>
      <c r="B20" s="21"/>
      <c r="C20" s="21"/>
      <c r="F20" s="15">
        <f>623965+5160+3100+9100+7166+4500</f>
        <v>652991</v>
      </c>
      <c r="G20" s="22">
        <f t="shared" si="8"/>
        <v>69963.32142857148</v>
      </c>
      <c r="H20" s="22">
        <f t="shared" si="9"/>
        <v>0</v>
      </c>
      <c r="I20" s="7">
        <f t="shared" si="10"/>
        <v>54415.916666666664</v>
      </c>
      <c r="J20" s="7"/>
      <c r="K20" s="7">
        <v>0</v>
      </c>
      <c r="L20" s="22">
        <f t="shared" si="11"/>
        <v>0</v>
      </c>
      <c r="M20" s="23">
        <f t="shared" si="12"/>
        <v>54415.916666666664</v>
      </c>
      <c r="N20" s="24">
        <f t="shared" si="13"/>
        <v>372.71175799086757</v>
      </c>
      <c r="O20" s="24">
        <f t="shared" si="14"/>
        <v>614.9744006849314</v>
      </c>
      <c r="P20" s="24">
        <f t="shared" si="15"/>
        <v>273.99641025641023</v>
      </c>
      <c r="Q20" s="25"/>
    </row>
    <row r="21" spans="1:17" ht="10.5" customHeight="1">
      <c r="A21" s="4" t="s">
        <v>15</v>
      </c>
      <c r="B21" s="20"/>
      <c r="C21" s="20"/>
      <c r="F21" s="15">
        <f>640371+5160+3100+9100+7166+4500</f>
        <v>669397</v>
      </c>
      <c r="G21" s="22">
        <f t="shared" si="8"/>
        <v>71721.10714285716</v>
      </c>
      <c r="H21" s="22">
        <f t="shared" si="9"/>
        <v>0</v>
      </c>
      <c r="I21" s="7">
        <f t="shared" si="10"/>
        <v>55783.083333333336</v>
      </c>
      <c r="J21" s="7"/>
      <c r="K21" s="7">
        <v>0</v>
      </c>
      <c r="L21" s="22">
        <f t="shared" si="11"/>
        <v>0</v>
      </c>
      <c r="M21" s="23">
        <f t="shared" si="12"/>
        <v>55783.083333333336</v>
      </c>
      <c r="N21" s="24">
        <f t="shared" si="13"/>
        <v>382.0759132420091</v>
      </c>
      <c r="O21" s="24">
        <f t="shared" si="14"/>
        <v>630.425256849315</v>
      </c>
      <c r="P21" s="24">
        <f t="shared" si="15"/>
        <v>282.4097435897436</v>
      </c>
      <c r="Q21" s="25"/>
    </row>
    <row r="22" spans="1:17" ht="10.5" customHeight="1">
      <c r="A22" s="4" t="s">
        <v>16</v>
      </c>
      <c r="F22" s="15">
        <v>675745</v>
      </c>
      <c r="G22" s="22">
        <f t="shared" si="8"/>
        <v>72401.25</v>
      </c>
      <c r="H22" s="22">
        <f t="shared" si="9"/>
        <v>0</v>
      </c>
      <c r="I22" s="7">
        <f t="shared" si="10"/>
        <v>56312.083333333336</v>
      </c>
      <c r="J22" s="7"/>
      <c r="K22" s="7">
        <v>0</v>
      </c>
      <c r="L22" s="22">
        <f t="shared" si="11"/>
        <v>0</v>
      </c>
      <c r="M22" s="23">
        <f t="shared" si="12"/>
        <v>56312.083333333336</v>
      </c>
      <c r="N22" s="24">
        <f t="shared" si="13"/>
        <v>385.699200913242</v>
      </c>
      <c r="O22" s="24">
        <f t="shared" si="14"/>
        <v>636.4036815068492</v>
      </c>
      <c r="P22" s="24">
        <f t="shared" si="15"/>
        <v>285.6651282051282</v>
      </c>
      <c r="Q22" s="25"/>
    </row>
    <row r="23" spans="1:17" ht="10.5" customHeight="1">
      <c r="A23" s="4" t="s">
        <v>17</v>
      </c>
      <c r="F23" s="15">
        <v>680745</v>
      </c>
      <c r="G23" s="22">
        <f t="shared" si="8"/>
        <v>72936.96428571432</v>
      </c>
      <c r="H23" s="22">
        <f t="shared" si="9"/>
        <v>0</v>
      </c>
      <c r="I23" s="7">
        <f t="shared" si="10"/>
        <v>56728.75</v>
      </c>
      <c r="J23" s="7"/>
      <c r="K23" s="7">
        <v>0</v>
      </c>
      <c r="L23" s="22">
        <f t="shared" si="11"/>
        <v>0</v>
      </c>
      <c r="M23" s="23">
        <f t="shared" si="12"/>
        <v>56728.75</v>
      </c>
      <c r="N23" s="24">
        <f t="shared" si="13"/>
        <v>388.55308219178085</v>
      </c>
      <c r="O23" s="24">
        <f t="shared" si="14"/>
        <v>641.1125856164383</v>
      </c>
      <c r="P23" s="24">
        <f t="shared" si="15"/>
        <v>288.22923076923075</v>
      </c>
      <c r="Q23" s="25"/>
    </row>
    <row r="24" spans="1:17" ht="10.5" customHeight="1">
      <c r="A24" s="4" t="s">
        <v>18</v>
      </c>
      <c r="F24" s="15">
        <v>685745</v>
      </c>
      <c r="G24" s="22">
        <f t="shared" si="8"/>
        <v>73472.67857142864</v>
      </c>
      <c r="H24" s="22">
        <f t="shared" si="9"/>
        <v>0</v>
      </c>
      <c r="I24" s="7">
        <f t="shared" si="10"/>
        <v>57145.416666666664</v>
      </c>
      <c r="J24" s="7"/>
      <c r="K24" s="7">
        <v>0</v>
      </c>
      <c r="L24" s="22">
        <f t="shared" si="11"/>
        <v>0</v>
      </c>
      <c r="M24" s="23">
        <f t="shared" si="12"/>
        <v>57145.416666666664</v>
      </c>
      <c r="N24" s="24">
        <f t="shared" si="13"/>
        <v>391.4069634703196</v>
      </c>
      <c r="O24" s="24">
        <f t="shared" si="14"/>
        <v>645.8214897260274</v>
      </c>
      <c r="P24" s="24">
        <f t="shared" si="15"/>
        <v>290.79333333333335</v>
      </c>
      <c r="Q24" s="25"/>
    </row>
    <row r="25" spans="1:17" ht="10.5" customHeight="1">
      <c r="A25" s="4" t="s">
        <v>19</v>
      </c>
      <c r="F25" s="15">
        <v>690745</v>
      </c>
      <c r="G25" s="22">
        <f t="shared" si="8"/>
        <v>74008.39285714296</v>
      </c>
      <c r="H25" s="22">
        <f t="shared" si="9"/>
        <v>0</v>
      </c>
      <c r="I25" s="7">
        <f t="shared" si="10"/>
        <v>57562.083333333336</v>
      </c>
      <c r="J25" s="7"/>
      <c r="K25" s="7">
        <v>0</v>
      </c>
      <c r="L25" s="22">
        <f t="shared" si="11"/>
        <v>0</v>
      </c>
      <c r="M25" s="23">
        <f t="shared" si="12"/>
        <v>57562.083333333336</v>
      </c>
      <c r="N25" s="24">
        <f t="shared" si="13"/>
        <v>394.26084474885846</v>
      </c>
      <c r="O25" s="24">
        <f t="shared" si="14"/>
        <v>650.5303938356165</v>
      </c>
      <c r="P25" s="24">
        <f t="shared" si="15"/>
        <v>293.3574358974359</v>
      </c>
      <c r="Q25" s="25"/>
    </row>
    <row r="26" spans="1:16" ht="10.5" customHeight="1">
      <c r="A26" s="4" t="s">
        <v>23</v>
      </c>
      <c r="F26" s="15">
        <v>695745</v>
      </c>
      <c r="G26" s="22">
        <f t="shared" si="8"/>
        <v>74544.10714285716</v>
      </c>
      <c r="H26" s="22">
        <f t="shared" si="9"/>
        <v>0</v>
      </c>
      <c r="I26" s="7">
        <f t="shared" si="10"/>
        <v>57978.75</v>
      </c>
      <c r="J26" s="7"/>
      <c r="K26" s="7">
        <v>0</v>
      </c>
      <c r="L26" s="22">
        <f t="shared" si="11"/>
        <v>0</v>
      </c>
      <c r="M26" s="23">
        <f t="shared" si="12"/>
        <v>57978.75</v>
      </c>
      <c r="N26" s="24">
        <f t="shared" si="13"/>
        <v>397.11472602739724</v>
      </c>
      <c r="O26" s="24">
        <f t="shared" si="14"/>
        <v>655.2392979452054</v>
      </c>
      <c r="P26" s="24">
        <f t="shared" si="15"/>
        <v>295.9215384615385</v>
      </c>
    </row>
    <row r="27" spans="1:16" ht="10.5" customHeight="1">
      <c r="A27" s="4" t="s">
        <v>37</v>
      </c>
      <c r="F27" s="15">
        <v>700745</v>
      </c>
      <c r="G27" s="22">
        <f>F27-(F27/1.12)</f>
        <v>75079.82142857148</v>
      </c>
      <c r="H27" s="22">
        <f>K27*132</f>
        <v>0</v>
      </c>
      <c r="I27" s="7">
        <f>F27/12</f>
        <v>58395.416666666664</v>
      </c>
      <c r="J27" s="7"/>
      <c r="K27" s="7">
        <v>0</v>
      </c>
      <c r="L27" s="22">
        <f>K27*146</f>
        <v>0</v>
      </c>
      <c r="M27" s="23">
        <f>(F27-L27)/12</f>
        <v>58395.416666666664</v>
      </c>
      <c r="N27" s="24">
        <f>F27/1752</f>
        <v>399.9686073059361</v>
      </c>
      <c r="O27" s="24">
        <f>N27*1.65</f>
        <v>659.9482020547945</v>
      </c>
      <c r="P27" s="24">
        <f t="shared" si="15"/>
        <v>298.48564102564103</v>
      </c>
    </row>
    <row r="28" spans="1:16" ht="10.5" customHeight="1">
      <c r="A28" s="4" t="s">
        <v>49</v>
      </c>
      <c r="F28" s="15">
        <v>705745</v>
      </c>
      <c r="G28" s="22">
        <f>F28-(F28/1.12)</f>
        <v>75615.5357142858</v>
      </c>
      <c r="H28" s="22">
        <f>K28*132</f>
        <v>0</v>
      </c>
      <c r="I28" s="7">
        <f>F28/12</f>
        <v>58812.083333333336</v>
      </c>
      <c r="J28" s="7"/>
      <c r="K28" s="7">
        <v>0</v>
      </c>
      <c r="L28" s="22">
        <f>K28*146</f>
        <v>0</v>
      </c>
      <c r="M28" s="23">
        <f>(F28-L28)/12</f>
        <v>58812.083333333336</v>
      </c>
      <c r="N28" s="24">
        <f>F28/1752</f>
        <v>402.8224885844749</v>
      </c>
      <c r="O28" s="24">
        <f>N28*1.65</f>
        <v>664.6571061643835</v>
      </c>
      <c r="P28" s="24">
        <f t="shared" si="15"/>
        <v>301.04974358974357</v>
      </c>
    </row>
    <row r="29" spans="1:16" ht="10.5" customHeight="1">
      <c r="A29" s="4" t="s">
        <v>52</v>
      </c>
      <c r="F29" s="15">
        <f>706245+4500</f>
        <v>710745</v>
      </c>
      <c r="G29" s="22">
        <f>F29-(F29/1.12)</f>
        <v>76151.25000000012</v>
      </c>
      <c r="H29" s="22">
        <f>K29*132</f>
        <v>0</v>
      </c>
      <c r="I29" s="7">
        <f>F29/12</f>
        <v>59228.75</v>
      </c>
      <c r="J29" s="7"/>
      <c r="K29" s="7">
        <v>0</v>
      </c>
      <c r="L29" s="22">
        <f>K29*146</f>
        <v>0</v>
      </c>
      <c r="M29" s="23">
        <f>(F29-L29)/12</f>
        <v>59228.75</v>
      </c>
      <c r="N29" s="24">
        <f>F29/1752</f>
        <v>405.6763698630137</v>
      </c>
      <c r="O29" s="24">
        <f>N29*1.65</f>
        <v>669.3660102739725</v>
      </c>
      <c r="P29" s="24">
        <f t="shared" si="15"/>
        <v>303.61384615384617</v>
      </c>
    </row>
    <row r="30" ht="10.5" customHeight="1">
      <c r="M30" s="23"/>
    </row>
    <row r="31" ht="10.5" customHeight="1">
      <c r="M31" s="23"/>
    </row>
    <row r="32" ht="10.5" customHeight="1">
      <c r="M32" s="23"/>
    </row>
    <row r="33" ht="10.5" customHeight="1">
      <c r="M33" s="23"/>
    </row>
    <row r="34" ht="10.5" customHeight="1">
      <c r="M34" s="23"/>
    </row>
    <row r="35" ht="10.5" customHeight="1">
      <c r="M35" s="23"/>
    </row>
    <row r="36" spans="11:13" ht="10.5" customHeight="1">
      <c r="K36" s="30"/>
      <c r="M36" s="23"/>
    </row>
    <row r="37" ht="12" customHeight="1"/>
    <row r="38" spans="1:15" s="4" customFormat="1" ht="12" customHeight="1">
      <c r="A38" s="1"/>
      <c r="B38" s="2"/>
      <c r="C38" s="2"/>
      <c r="D38" s="3"/>
      <c r="F38" s="5"/>
      <c r="I38" s="6"/>
      <c r="J38" s="7"/>
      <c r="K38" s="8"/>
      <c r="M38" s="9"/>
      <c r="O38" s="10"/>
    </row>
    <row r="39" spans="1:15" s="4" customFormat="1" ht="12" customHeight="1">
      <c r="A39" s="1"/>
      <c r="B39" s="2"/>
      <c r="C39" s="2"/>
      <c r="D39" s="3"/>
      <c r="F39" s="5"/>
      <c r="I39" s="6"/>
      <c r="J39" s="7"/>
      <c r="K39" s="8"/>
      <c r="M39" s="9"/>
      <c r="O39" s="10"/>
    </row>
    <row r="40" spans="1:13" ht="10.5" customHeight="1">
      <c r="A40" s="9"/>
      <c r="D40" s="26"/>
      <c r="F40" s="15"/>
      <c r="G40" s="22"/>
      <c r="H40" s="22"/>
      <c r="I40" s="7"/>
      <c r="J40" s="7"/>
      <c r="K40" s="7"/>
      <c r="M40" s="23"/>
    </row>
    <row r="41" spans="1:13" ht="10.5" customHeight="1">
      <c r="A41" s="9"/>
      <c r="D41" s="26"/>
      <c r="F41" s="15"/>
      <c r="G41" s="22"/>
      <c r="H41" s="22"/>
      <c r="I41" s="7"/>
      <c r="J41" s="7"/>
      <c r="K41" s="7"/>
      <c r="M41" s="23"/>
    </row>
    <row r="42" spans="1:13" ht="10.5" customHeight="1">
      <c r="A42" s="9"/>
      <c r="F42" s="15"/>
      <c r="G42" s="22"/>
      <c r="H42" s="22"/>
      <c r="I42" s="7"/>
      <c r="J42" s="7"/>
      <c r="K42" s="7"/>
      <c r="M42" s="23"/>
    </row>
    <row r="43" spans="1:13" ht="10.5" customHeight="1">
      <c r="A43" s="9"/>
      <c r="F43" s="15"/>
      <c r="G43" s="22"/>
      <c r="H43" s="22"/>
      <c r="I43" s="7"/>
      <c r="J43" s="7"/>
      <c r="K43" s="7"/>
      <c r="M43" s="23"/>
    </row>
    <row r="44" spans="1:13" ht="10.5" customHeight="1">
      <c r="A44" s="9"/>
      <c r="F44" s="15"/>
      <c r="G44" s="22"/>
      <c r="H44" s="22"/>
      <c r="I44" s="7"/>
      <c r="J44" s="7"/>
      <c r="K44" s="7"/>
      <c r="M44" s="23"/>
    </row>
    <row r="45" spans="1:13" ht="10.5" customHeight="1">
      <c r="A45" s="9"/>
      <c r="F45" s="15"/>
      <c r="G45" s="22"/>
      <c r="H45" s="22"/>
      <c r="I45" s="7"/>
      <c r="J45" s="7"/>
      <c r="K45" s="7"/>
      <c r="M45" s="23"/>
    </row>
    <row r="46" spans="1:13" ht="10.5" customHeight="1">
      <c r="A46" s="9"/>
      <c r="F46" s="15"/>
      <c r="G46" s="22"/>
      <c r="H46" s="22"/>
      <c r="I46" s="7"/>
      <c r="J46" s="7"/>
      <c r="K46" s="7"/>
      <c r="M46" s="23"/>
    </row>
    <row r="47" spans="1:13" ht="10.5" customHeight="1">
      <c r="A47" s="9"/>
      <c r="F47" s="15"/>
      <c r="G47" s="22"/>
      <c r="H47" s="22"/>
      <c r="I47" s="7"/>
      <c r="J47" s="7"/>
      <c r="K47" s="7"/>
      <c r="M47" s="23"/>
    </row>
    <row r="48" spans="1:13" ht="10.5" customHeight="1">
      <c r="A48" s="9"/>
      <c r="F48" s="15"/>
      <c r="G48" s="22"/>
      <c r="H48" s="22"/>
      <c r="I48" s="7"/>
      <c r="J48" s="7"/>
      <c r="K48" s="7"/>
      <c r="M48" s="23"/>
    </row>
    <row r="49" spans="1:13" ht="10.5" customHeight="1">
      <c r="A49" s="9"/>
      <c r="F49" s="15"/>
      <c r="G49" s="22"/>
      <c r="H49" s="22"/>
      <c r="I49" s="7"/>
      <c r="J49" s="7"/>
      <c r="K49" s="7"/>
      <c r="M49" s="23"/>
    </row>
    <row r="50" spans="1:13" ht="10.5" customHeight="1">
      <c r="A50" s="9"/>
      <c r="F50" s="15"/>
      <c r="G50" s="22"/>
      <c r="H50" s="22"/>
      <c r="I50" s="7"/>
      <c r="J50" s="7"/>
      <c r="K50" s="7"/>
      <c r="M50" s="23"/>
    </row>
    <row r="51" spans="1:15" ht="10.5" customHeight="1">
      <c r="A51" s="9"/>
      <c r="F51" s="4"/>
      <c r="G51" s="22"/>
      <c r="H51" s="22"/>
      <c r="I51" s="7"/>
      <c r="J51" s="31"/>
      <c r="K51" s="31"/>
      <c r="L51" s="32"/>
      <c r="M51" s="33"/>
      <c r="N51" s="34"/>
      <c r="O51" s="35"/>
    </row>
    <row r="52" spans="1:13" ht="10.5" customHeight="1">
      <c r="A52" s="36"/>
      <c r="F52" s="15"/>
      <c r="G52" s="22"/>
      <c r="H52" s="22"/>
      <c r="I52" s="7"/>
      <c r="J52" s="7"/>
      <c r="K52" s="7"/>
      <c r="M52" s="23"/>
    </row>
    <row r="53" spans="1:13" ht="10.5" customHeight="1">
      <c r="A53" s="36"/>
      <c r="F53" s="15"/>
      <c r="G53" s="22"/>
      <c r="H53" s="22"/>
      <c r="I53" s="7"/>
      <c r="J53" s="7"/>
      <c r="K53" s="7"/>
      <c r="M53" s="23"/>
    </row>
    <row r="54" spans="1:13" ht="10.5" customHeight="1">
      <c r="A54" s="36"/>
      <c r="F54" s="15"/>
      <c r="G54" s="22"/>
      <c r="H54" s="22"/>
      <c r="I54" s="7"/>
      <c r="J54" s="7"/>
      <c r="K54" s="7"/>
      <c r="M54" s="23"/>
    </row>
    <row r="55" spans="1:13" ht="10.5" customHeight="1">
      <c r="A55" s="36"/>
      <c r="F55" s="15"/>
      <c r="G55" s="22"/>
      <c r="H55" s="22"/>
      <c r="I55" s="7"/>
      <c r="J55" s="7"/>
      <c r="K55" s="7"/>
      <c r="M55" s="23"/>
    </row>
    <row r="56" spans="6:13" ht="10.5" customHeight="1">
      <c r="F56" s="15"/>
      <c r="G56" s="22"/>
      <c r="H56" s="22"/>
      <c r="I56" s="7"/>
      <c r="J56" s="7"/>
      <c r="K56" s="7"/>
      <c r="M56" s="23"/>
    </row>
    <row r="57" spans="6:13" ht="10.5" customHeight="1">
      <c r="F57" s="15"/>
      <c r="G57" s="22"/>
      <c r="H57" s="22"/>
      <c r="I57" s="7"/>
      <c r="J57" s="7"/>
      <c r="K57" s="7"/>
      <c r="M57" s="23"/>
    </row>
    <row r="58" spans="6:13" ht="10.5" customHeight="1">
      <c r="F58" s="15"/>
      <c r="G58" s="22"/>
      <c r="H58" s="22"/>
      <c r="I58" s="7"/>
      <c r="J58" s="7"/>
      <c r="K58" s="7"/>
      <c r="M58" s="23"/>
    </row>
    <row r="59" spans="6:13" ht="10.5" customHeight="1">
      <c r="F59" s="15"/>
      <c r="G59" s="22"/>
      <c r="H59" s="22"/>
      <c r="I59" s="7"/>
      <c r="J59" s="7"/>
      <c r="K59" s="7"/>
      <c r="M59" s="23"/>
    </row>
    <row r="60" spans="6:13" ht="10.5" customHeight="1">
      <c r="F60" s="15"/>
      <c r="G60" s="22"/>
      <c r="H60" s="22"/>
      <c r="I60" s="7"/>
      <c r="J60" s="7"/>
      <c r="K60" s="7"/>
      <c r="M60" s="23"/>
    </row>
    <row r="61" spans="6:13" ht="10.5" customHeight="1">
      <c r="F61" s="15"/>
      <c r="G61" s="22"/>
      <c r="H61" s="22"/>
      <c r="I61" s="7"/>
      <c r="J61" s="7"/>
      <c r="K61" s="7"/>
      <c r="M61" s="23"/>
    </row>
    <row r="62" spans="6:13" ht="10.5" customHeight="1">
      <c r="F62" s="15"/>
      <c r="G62" s="22"/>
      <c r="H62" s="22"/>
      <c r="I62" s="7"/>
      <c r="J62" s="7"/>
      <c r="K62" s="7"/>
      <c r="M62" s="23"/>
    </row>
    <row r="63" spans="6:13" ht="10.5" customHeight="1">
      <c r="F63" s="15"/>
      <c r="G63" s="22"/>
      <c r="H63" s="22"/>
      <c r="I63" s="7"/>
      <c r="J63" s="7"/>
      <c r="K63" s="7"/>
      <c r="M63" s="23"/>
    </row>
    <row r="64" spans="2:13" ht="10.5" customHeight="1">
      <c r="B64" s="20"/>
      <c r="C64" s="20"/>
      <c r="F64" s="15"/>
      <c r="G64" s="22"/>
      <c r="H64" s="22"/>
      <c r="I64" s="7"/>
      <c r="K64" s="7"/>
      <c r="M64" s="23"/>
    </row>
    <row r="65" spans="2:13" ht="10.5" customHeight="1">
      <c r="B65" s="20"/>
      <c r="C65" s="20"/>
      <c r="F65" s="15"/>
      <c r="G65" s="22"/>
      <c r="H65" s="22"/>
      <c r="I65" s="7"/>
      <c r="K65" s="7"/>
      <c r="M65" s="23"/>
    </row>
    <row r="66" spans="2:13" ht="10.5" customHeight="1">
      <c r="B66" s="20"/>
      <c r="C66" s="20"/>
      <c r="F66" s="15"/>
      <c r="G66" s="22"/>
      <c r="H66" s="22"/>
      <c r="I66" s="7"/>
      <c r="K66" s="7"/>
      <c r="M66" s="23"/>
    </row>
    <row r="67" spans="6:13" ht="10.5" customHeight="1">
      <c r="F67" s="15"/>
      <c r="G67" s="22"/>
      <c r="H67" s="22"/>
      <c r="I67" s="7"/>
      <c r="K67" s="7"/>
      <c r="M67" s="23"/>
    </row>
    <row r="68" spans="6:13" ht="10.5" customHeight="1">
      <c r="F68" s="15"/>
      <c r="G68" s="22"/>
      <c r="H68" s="22"/>
      <c r="I68" s="7"/>
      <c r="K68" s="7"/>
      <c r="M68" s="23"/>
    </row>
    <row r="69" spans="6:13" ht="10.5" customHeight="1">
      <c r="F69" s="15"/>
      <c r="G69" s="22"/>
      <c r="H69" s="22"/>
      <c r="I69" s="7"/>
      <c r="K69" s="7"/>
      <c r="M69" s="23"/>
    </row>
    <row r="70" spans="6:13" ht="10.5" customHeight="1">
      <c r="F70" s="15"/>
      <c r="G70" s="22"/>
      <c r="H70" s="22"/>
      <c r="I70" s="7"/>
      <c r="K70" s="7"/>
      <c r="M70" s="23"/>
    </row>
    <row r="71" spans="6:13" ht="10.5" customHeight="1">
      <c r="F71" s="15"/>
      <c r="G71" s="22"/>
      <c r="H71" s="22"/>
      <c r="I71" s="7"/>
      <c r="K71" s="7"/>
      <c r="M71" s="23"/>
    </row>
    <row r="72" spans="6:13" ht="10.5" customHeight="1">
      <c r="F72" s="15"/>
      <c r="G72" s="22"/>
      <c r="H72" s="22"/>
      <c r="I72" s="7"/>
      <c r="K72" s="7"/>
      <c r="M72" s="23"/>
    </row>
    <row r="73" spans="6:13" ht="10.5" customHeight="1">
      <c r="F73" s="15"/>
      <c r="G73" s="22"/>
      <c r="H73" s="22"/>
      <c r="I73" s="7"/>
      <c r="K73" s="7"/>
      <c r="M73" s="23"/>
    </row>
    <row r="74" spans="6:13" ht="10.5" customHeight="1">
      <c r="F74" s="15"/>
      <c r="G74" s="22"/>
      <c r="H74" s="22"/>
      <c r="I74" s="7"/>
      <c r="K74" s="7"/>
      <c r="M74" s="23"/>
    </row>
    <row r="75" spans="7:13" ht="10.5" customHeight="1">
      <c r="G75" s="22"/>
      <c r="H75" s="22"/>
      <c r="M75" s="23"/>
    </row>
    <row r="76" ht="10.5" customHeight="1">
      <c r="M76" s="23"/>
    </row>
    <row r="77" spans="11:13" ht="10.5" customHeight="1">
      <c r="K77" s="7"/>
      <c r="M77" s="23"/>
    </row>
    <row r="78" ht="10.5" customHeight="1">
      <c r="M78" s="23"/>
    </row>
    <row r="79" spans="11:13" ht="10.5" customHeight="1">
      <c r="K79" s="30"/>
      <c r="M79" s="23"/>
    </row>
  </sheetData>
  <sheetProtection/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scale="11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79"/>
  <sheetViews>
    <sheetView zoomScalePageLayoutView="0" workbookViewId="0" topLeftCell="A1">
      <selection activeCell="A1" sqref="A1:IV16384"/>
    </sheetView>
  </sheetViews>
  <sheetFormatPr defaultColWidth="10.421875" defaultRowHeight="12.75"/>
  <cols>
    <col min="1" max="1" width="7.421875" style="4" customWidth="1"/>
    <col min="2" max="2" width="17.421875" style="26" customWidth="1"/>
    <col min="3" max="3" width="5.140625" style="26" bestFit="1" customWidth="1"/>
    <col min="4" max="4" width="14.00390625" style="21" customWidth="1"/>
    <col min="5" max="5" width="7.421875" style="21" bestFit="1" customWidth="1"/>
    <col min="6" max="6" width="7.421875" style="27" bestFit="1" customWidth="1"/>
    <col min="7" max="7" width="7.57421875" style="15" customWidth="1"/>
    <col min="8" max="8" width="7.140625" style="15" customWidth="1"/>
    <col min="9" max="9" width="7.7109375" style="28" bestFit="1" customWidth="1"/>
    <col min="10" max="10" width="2.28125" style="29" customWidth="1"/>
    <col min="11" max="11" width="5.421875" style="28" customWidth="1"/>
    <col min="12" max="12" width="6.57421875" style="22" hidden="1" customWidth="1"/>
    <col min="13" max="13" width="10.7109375" style="21" hidden="1" customWidth="1"/>
    <col min="14" max="14" width="10.00390625" style="24" bestFit="1" customWidth="1"/>
    <col min="15" max="15" width="8.00390625" style="24" customWidth="1"/>
    <col min="16" max="16" width="8.57421875" style="24" customWidth="1"/>
    <col min="17" max="16384" width="10.421875" style="21" customWidth="1"/>
  </cols>
  <sheetData>
    <row r="1" spans="1:15" s="4" customFormat="1" ht="12" customHeight="1">
      <c r="A1" s="1" t="s">
        <v>65</v>
      </c>
      <c r="B1" s="2"/>
      <c r="C1" s="2"/>
      <c r="D1" s="3"/>
      <c r="F1" s="5"/>
      <c r="I1" s="6"/>
      <c r="J1" s="7"/>
      <c r="K1" s="8"/>
      <c r="M1" s="9" t="s">
        <v>0</v>
      </c>
      <c r="O1" s="10"/>
    </row>
    <row r="2" spans="1:15" s="4" customFormat="1" ht="12" customHeight="1">
      <c r="A2" s="1"/>
      <c r="B2" s="2"/>
      <c r="C2" s="2"/>
      <c r="D2" s="3"/>
      <c r="F2" s="5"/>
      <c r="I2" s="6"/>
      <c r="J2" s="7"/>
      <c r="K2" s="8"/>
      <c r="M2" s="9"/>
      <c r="O2" s="10"/>
    </row>
    <row r="3" spans="1:17" s="4" customFormat="1" ht="56.25">
      <c r="A3" s="11" t="s">
        <v>22</v>
      </c>
      <c r="B3" s="3" t="s">
        <v>3</v>
      </c>
      <c r="C3" s="3" t="s">
        <v>2</v>
      </c>
      <c r="D3" s="10" t="s">
        <v>4</v>
      </c>
      <c r="E3" s="10" t="s">
        <v>5</v>
      </c>
      <c r="F3" s="12" t="s">
        <v>6</v>
      </c>
      <c r="G3" s="13" t="s">
        <v>7</v>
      </c>
      <c r="H3" s="13" t="s">
        <v>8</v>
      </c>
      <c r="I3" s="14" t="s">
        <v>32</v>
      </c>
      <c r="J3" s="15"/>
      <c r="K3" s="13" t="s">
        <v>20</v>
      </c>
      <c r="L3" s="13"/>
      <c r="M3" s="9"/>
      <c r="N3" s="16" t="s">
        <v>9</v>
      </c>
      <c r="O3" s="17" t="s">
        <v>10</v>
      </c>
      <c r="P3" s="16" t="s">
        <v>11</v>
      </c>
      <c r="Q3" s="18"/>
    </row>
    <row r="4" spans="1:17" s="4" customFormat="1" ht="12.75">
      <c r="A4" s="11"/>
      <c r="B4" s="3"/>
      <c r="C4" s="3"/>
      <c r="D4" s="10"/>
      <c r="E4" s="10"/>
      <c r="F4" s="12"/>
      <c r="G4" s="13"/>
      <c r="H4" s="13"/>
      <c r="I4" s="14"/>
      <c r="J4" s="15"/>
      <c r="K4" s="13"/>
      <c r="L4" s="13"/>
      <c r="M4" s="9"/>
      <c r="N4" s="16"/>
      <c r="O4" s="17"/>
      <c r="P4" s="16"/>
      <c r="Q4" s="18"/>
    </row>
    <row r="5" spans="1:18" s="38" customFormat="1" ht="10.5" customHeight="1">
      <c r="A5" s="4" t="s">
        <v>53</v>
      </c>
      <c r="B5" s="37" t="s">
        <v>26</v>
      </c>
      <c r="C5" s="37" t="s">
        <v>29</v>
      </c>
      <c r="D5" s="37" t="s">
        <v>1</v>
      </c>
      <c r="F5" s="15">
        <f>544766+10000+5340+12000+12000+5160+3100+9100+7166+4500+19700</f>
        <v>632832</v>
      </c>
      <c r="G5" s="22">
        <f>F5-(F5/1.12)</f>
        <v>67803.42857142864</v>
      </c>
      <c r="H5" s="22">
        <f aca="true" t="shared" si="0" ref="H5:H16">J5*132</f>
        <v>0</v>
      </c>
      <c r="I5" s="7">
        <f aca="true" t="shared" si="1" ref="I5:I13">F5/12</f>
        <v>52736</v>
      </c>
      <c r="J5" s="29">
        <v>0</v>
      </c>
      <c r="K5" s="29">
        <v>0</v>
      </c>
      <c r="L5" s="22">
        <f aca="true" t="shared" si="2" ref="L5:L14">J5*146</f>
        <v>0</v>
      </c>
      <c r="M5" s="23">
        <f aca="true" t="shared" si="3" ref="M5:M16">(F5-L5)/12</f>
        <v>52736</v>
      </c>
      <c r="N5" s="24">
        <f aca="true" t="shared" si="4" ref="N5:N16">F5/1752</f>
        <v>361.2054794520548</v>
      </c>
      <c r="O5" s="24">
        <f aca="true" t="shared" si="5" ref="O5:O14">N5*1.65</f>
        <v>595.9890410958905</v>
      </c>
      <c r="P5" s="24">
        <f>(F5-(856*146))/1950</f>
        <v>260.43897435897435</v>
      </c>
      <c r="Q5" s="21"/>
      <c r="R5" s="21"/>
    </row>
    <row r="6" spans="1:18" s="38" customFormat="1" ht="10.5" customHeight="1">
      <c r="A6" s="4" t="s">
        <v>54</v>
      </c>
      <c r="B6" s="26"/>
      <c r="C6" s="21"/>
      <c r="F6" s="15">
        <f>556816+10000+5340+12000+12000+5160+3100+9100+7166+4500+19700</f>
        <v>644882</v>
      </c>
      <c r="G6" s="22">
        <f>F6-(F6/1.12)</f>
        <v>69094.5</v>
      </c>
      <c r="H6" s="22">
        <f t="shared" si="0"/>
        <v>0</v>
      </c>
      <c r="I6" s="7">
        <f t="shared" si="1"/>
        <v>53740.166666666664</v>
      </c>
      <c r="J6" s="29">
        <v>0</v>
      </c>
      <c r="K6" s="29">
        <v>0</v>
      </c>
      <c r="L6" s="22">
        <f t="shared" si="2"/>
        <v>0</v>
      </c>
      <c r="M6" s="23">
        <f t="shared" si="3"/>
        <v>53740.166666666664</v>
      </c>
      <c r="N6" s="24">
        <f t="shared" si="4"/>
        <v>368.0833333333333</v>
      </c>
      <c r="O6" s="24">
        <f t="shared" si="5"/>
        <v>607.3375</v>
      </c>
      <c r="P6" s="24">
        <f aca="true" t="shared" si="6" ref="P6:P29">(F6-(856*146))/1950</f>
        <v>266.61846153846153</v>
      </c>
      <c r="Q6" s="21"/>
      <c r="R6" s="21"/>
    </row>
    <row r="7" spans="1:18" s="38" customFormat="1" ht="10.5" customHeight="1">
      <c r="A7" s="4" t="s">
        <v>55</v>
      </c>
      <c r="B7" s="26"/>
      <c r="C7" s="21"/>
      <c r="F7" s="15">
        <f>568864+10000+5340+12000+12000+5160+3100+9100+7166+4500+19700</f>
        <v>656930</v>
      </c>
      <c r="G7" s="22">
        <f>F7-(F7/1.12)</f>
        <v>70385.35714285716</v>
      </c>
      <c r="H7" s="22">
        <f t="shared" si="0"/>
        <v>0</v>
      </c>
      <c r="I7" s="7">
        <f t="shared" si="1"/>
        <v>54744.166666666664</v>
      </c>
      <c r="J7" s="29">
        <v>0</v>
      </c>
      <c r="K7" s="29">
        <v>0</v>
      </c>
      <c r="L7" s="22">
        <f t="shared" si="2"/>
        <v>0</v>
      </c>
      <c r="M7" s="23">
        <f t="shared" si="3"/>
        <v>54744.166666666664</v>
      </c>
      <c r="N7" s="24">
        <f t="shared" si="4"/>
        <v>374.96004566210047</v>
      </c>
      <c r="O7" s="24">
        <f t="shared" si="5"/>
        <v>618.6840753424657</v>
      </c>
      <c r="P7" s="24">
        <f t="shared" si="6"/>
        <v>272.79692307692306</v>
      </c>
      <c r="Q7" s="21"/>
      <c r="R7" s="21"/>
    </row>
    <row r="8" spans="1:18" s="38" customFormat="1" ht="10.5" customHeight="1">
      <c r="A8" s="4" t="s">
        <v>56</v>
      </c>
      <c r="B8" s="26"/>
      <c r="C8" s="21"/>
      <c r="F8" s="15">
        <f>584808+10000+5340+12000+12000+5160+3100+9100+7166+4500+19700</f>
        <v>672874</v>
      </c>
      <c r="G8" s="22">
        <f>F8-(F8/1.12)</f>
        <v>72093.64285714296</v>
      </c>
      <c r="H8" s="22">
        <f t="shared" si="0"/>
        <v>0</v>
      </c>
      <c r="I8" s="7">
        <f t="shared" si="1"/>
        <v>56072.833333333336</v>
      </c>
      <c r="J8" s="29">
        <v>0</v>
      </c>
      <c r="K8" s="29">
        <v>0</v>
      </c>
      <c r="L8" s="22">
        <f t="shared" si="2"/>
        <v>0</v>
      </c>
      <c r="M8" s="23">
        <f t="shared" si="3"/>
        <v>56072.833333333336</v>
      </c>
      <c r="N8" s="24">
        <f t="shared" si="4"/>
        <v>384.060502283105</v>
      </c>
      <c r="O8" s="24">
        <f t="shared" si="5"/>
        <v>633.6998287671232</v>
      </c>
      <c r="P8" s="24">
        <f t="shared" si="6"/>
        <v>280.97333333333336</v>
      </c>
      <c r="Q8" s="21"/>
      <c r="R8" s="21"/>
    </row>
    <row r="9" spans="1:18" s="38" customFormat="1" ht="10.5" customHeight="1">
      <c r="A9" s="4" t="s">
        <v>57</v>
      </c>
      <c r="B9" s="26"/>
      <c r="C9" s="21"/>
      <c r="F9" s="15">
        <f>656978+19700</f>
        <v>676678</v>
      </c>
      <c r="G9" s="22">
        <f aca="true" t="shared" si="7" ref="G9:G16">F9-(F9/1.12)</f>
        <v>72501.21428571432</v>
      </c>
      <c r="H9" s="22">
        <f t="shared" si="0"/>
        <v>0</v>
      </c>
      <c r="I9" s="7">
        <f>F9/12</f>
        <v>56389.833333333336</v>
      </c>
      <c r="J9" s="29">
        <v>0</v>
      </c>
      <c r="K9" s="29">
        <v>0</v>
      </c>
      <c r="L9" s="22">
        <f>J9*146</f>
        <v>0</v>
      </c>
      <c r="M9" s="23">
        <f t="shared" si="3"/>
        <v>56389.833333333336</v>
      </c>
      <c r="N9" s="24">
        <f t="shared" si="4"/>
        <v>386.23173515981733</v>
      </c>
      <c r="O9" s="24">
        <f>N9*1.65</f>
        <v>637.2823630136986</v>
      </c>
      <c r="P9" s="24">
        <f t="shared" si="6"/>
        <v>282.92410256410255</v>
      </c>
      <c r="Q9" s="21"/>
      <c r="R9" s="21"/>
    </row>
    <row r="10" spans="1:18" s="38" customFormat="1" ht="10.5" customHeight="1">
      <c r="A10" s="4" t="s">
        <v>58</v>
      </c>
      <c r="B10" s="26"/>
      <c r="C10" s="21"/>
      <c r="F10" s="15">
        <f>661978+19700</f>
        <v>681678</v>
      </c>
      <c r="G10" s="22">
        <f t="shared" si="7"/>
        <v>73036.92857142864</v>
      </c>
      <c r="H10" s="22">
        <f t="shared" si="0"/>
        <v>0</v>
      </c>
      <c r="I10" s="7">
        <f>F10/12</f>
        <v>56806.5</v>
      </c>
      <c r="J10" s="29">
        <v>0</v>
      </c>
      <c r="K10" s="29">
        <v>0</v>
      </c>
      <c r="L10" s="22">
        <f>J10*146</f>
        <v>0</v>
      </c>
      <c r="M10" s="23">
        <f t="shared" si="3"/>
        <v>56806.5</v>
      </c>
      <c r="N10" s="24">
        <f t="shared" si="4"/>
        <v>389.08561643835617</v>
      </c>
      <c r="O10" s="24">
        <f>N10*1.65</f>
        <v>641.9912671232877</v>
      </c>
      <c r="P10" s="24">
        <f t="shared" si="6"/>
        <v>285.48820512820515</v>
      </c>
      <c r="Q10" s="21"/>
      <c r="R10" s="21"/>
    </row>
    <row r="11" spans="1:18" s="38" customFormat="1" ht="10.5" customHeight="1">
      <c r="A11" s="4" t="s">
        <v>59</v>
      </c>
      <c r="B11" s="26"/>
      <c r="C11" s="21"/>
      <c r="F11" s="15">
        <f>666978+19700</f>
        <v>686678</v>
      </c>
      <c r="G11" s="22">
        <f t="shared" si="7"/>
        <v>73572.64285714296</v>
      </c>
      <c r="H11" s="22">
        <f t="shared" si="0"/>
        <v>0</v>
      </c>
      <c r="I11" s="7">
        <f>F11/12</f>
        <v>57223.166666666664</v>
      </c>
      <c r="J11" s="29">
        <v>0</v>
      </c>
      <c r="K11" s="29">
        <v>0</v>
      </c>
      <c r="L11" s="22">
        <f>J11*146</f>
        <v>0</v>
      </c>
      <c r="M11" s="23">
        <f t="shared" si="3"/>
        <v>57223.166666666664</v>
      </c>
      <c r="N11" s="24">
        <f t="shared" si="4"/>
        <v>391.939497716895</v>
      </c>
      <c r="O11" s="24">
        <f>N11*1.65</f>
        <v>646.7001712328768</v>
      </c>
      <c r="P11" s="24">
        <f t="shared" si="6"/>
        <v>288.0523076923077</v>
      </c>
      <c r="Q11" s="21"/>
      <c r="R11" s="21"/>
    </row>
    <row r="12" spans="1:18" s="38" customFormat="1" ht="10.5" customHeight="1">
      <c r="A12" s="4" t="s">
        <v>60</v>
      </c>
      <c r="B12" s="26"/>
      <c r="C12" s="21"/>
      <c r="F12" s="15">
        <f>671978+19700</f>
        <v>691678</v>
      </c>
      <c r="G12" s="22">
        <f t="shared" si="7"/>
        <v>74108.35714285716</v>
      </c>
      <c r="H12" s="22">
        <f t="shared" si="0"/>
        <v>0</v>
      </c>
      <c r="I12" s="7">
        <f>F12/12</f>
        <v>57639.833333333336</v>
      </c>
      <c r="J12" s="29">
        <v>0</v>
      </c>
      <c r="K12" s="29">
        <v>0</v>
      </c>
      <c r="L12" s="22">
        <f>J12*146</f>
        <v>0</v>
      </c>
      <c r="M12" s="23">
        <f t="shared" si="3"/>
        <v>57639.833333333336</v>
      </c>
      <c r="N12" s="24">
        <f t="shared" si="4"/>
        <v>394.7933789954338</v>
      </c>
      <c r="O12" s="24">
        <f>N12*1.65</f>
        <v>651.4090753424657</v>
      </c>
      <c r="P12" s="24">
        <f t="shared" si="6"/>
        <v>290.61641025641023</v>
      </c>
      <c r="Q12" s="21"/>
      <c r="R12" s="21"/>
    </row>
    <row r="13" spans="1:18" s="38" customFormat="1" ht="10.5" customHeight="1">
      <c r="A13" s="4" t="s">
        <v>61</v>
      </c>
      <c r="B13" s="26"/>
      <c r="C13" s="21"/>
      <c r="F13" s="15">
        <f>676978+19700</f>
        <v>696678</v>
      </c>
      <c r="G13" s="22">
        <f t="shared" si="7"/>
        <v>74644.07142857148</v>
      </c>
      <c r="H13" s="22">
        <f t="shared" si="0"/>
        <v>0</v>
      </c>
      <c r="I13" s="7">
        <f t="shared" si="1"/>
        <v>58056.5</v>
      </c>
      <c r="J13" s="29">
        <v>0</v>
      </c>
      <c r="K13" s="29">
        <v>0</v>
      </c>
      <c r="L13" s="22">
        <f t="shared" si="2"/>
        <v>0</v>
      </c>
      <c r="M13" s="23">
        <f t="shared" si="3"/>
        <v>58056.5</v>
      </c>
      <c r="N13" s="24">
        <f t="shared" si="4"/>
        <v>397.6472602739726</v>
      </c>
      <c r="O13" s="24">
        <f t="shared" si="5"/>
        <v>656.1179794520548</v>
      </c>
      <c r="P13" s="24">
        <f t="shared" si="6"/>
        <v>293.18051282051283</v>
      </c>
      <c r="Q13" s="21"/>
      <c r="R13" s="21"/>
    </row>
    <row r="14" spans="1:18" s="38" customFormat="1" ht="10.5" customHeight="1">
      <c r="A14" s="4" t="s">
        <v>62</v>
      </c>
      <c r="B14" s="26"/>
      <c r="C14" s="21"/>
      <c r="F14" s="15">
        <f>681978+19700</f>
        <v>701678</v>
      </c>
      <c r="G14" s="22">
        <f t="shared" si="7"/>
        <v>75179.7857142858</v>
      </c>
      <c r="H14" s="22">
        <f t="shared" si="0"/>
        <v>0</v>
      </c>
      <c r="I14" s="7">
        <f>F14/12</f>
        <v>58473.166666666664</v>
      </c>
      <c r="J14" s="29">
        <v>0</v>
      </c>
      <c r="K14" s="29">
        <v>0</v>
      </c>
      <c r="L14" s="22">
        <f t="shared" si="2"/>
        <v>0</v>
      </c>
      <c r="M14" s="23">
        <f t="shared" si="3"/>
        <v>58473.166666666664</v>
      </c>
      <c r="N14" s="24">
        <f t="shared" si="4"/>
        <v>400.5011415525114</v>
      </c>
      <c r="O14" s="24">
        <f t="shared" si="5"/>
        <v>660.8268835616437</v>
      </c>
      <c r="P14" s="24">
        <f t="shared" si="6"/>
        <v>295.7446153846154</v>
      </c>
      <c r="Q14" s="21"/>
      <c r="R14" s="21"/>
    </row>
    <row r="15" spans="1:18" s="38" customFormat="1" ht="10.5" customHeight="1">
      <c r="A15" s="4" t="s">
        <v>63</v>
      </c>
      <c r="B15" s="26"/>
      <c r="C15" s="21"/>
      <c r="F15" s="15">
        <f>686978+19700</f>
        <v>706678</v>
      </c>
      <c r="G15" s="22">
        <f t="shared" si="7"/>
        <v>75715.50000000012</v>
      </c>
      <c r="H15" s="22">
        <f t="shared" si="0"/>
        <v>0</v>
      </c>
      <c r="I15" s="7">
        <f>F15/12</f>
        <v>58889.833333333336</v>
      </c>
      <c r="J15" s="29">
        <v>0</v>
      </c>
      <c r="K15" s="29">
        <v>0</v>
      </c>
      <c r="L15" s="22">
        <f>J15*146</f>
        <v>0</v>
      </c>
      <c r="M15" s="23">
        <f t="shared" si="3"/>
        <v>58889.833333333336</v>
      </c>
      <c r="N15" s="24">
        <f t="shared" si="4"/>
        <v>403.35502283105023</v>
      </c>
      <c r="O15" s="24">
        <f>N15*1.65</f>
        <v>665.5357876712328</v>
      </c>
      <c r="P15" s="24">
        <f t="shared" si="6"/>
        <v>298.30871794871797</v>
      </c>
      <c r="Q15" s="21"/>
      <c r="R15" s="21"/>
    </row>
    <row r="16" spans="1:18" s="38" customFormat="1" ht="10.5" customHeight="1">
      <c r="A16" s="4" t="s">
        <v>64</v>
      </c>
      <c r="B16" s="26"/>
      <c r="C16" s="21"/>
      <c r="F16" s="15">
        <f>691978+19700</f>
        <v>711678</v>
      </c>
      <c r="G16" s="22">
        <f t="shared" si="7"/>
        <v>76251.21428571432</v>
      </c>
      <c r="H16" s="22">
        <f t="shared" si="0"/>
        <v>0</v>
      </c>
      <c r="I16" s="7">
        <f>F16/12</f>
        <v>59306.5</v>
      </c>
      <c r="J16" s="29">
        <v>0</v>
      </c>
      <c r="K16" s="29">
        <v>0</v>
      </c>
      <c r="L16" s="22">
        <f>J16*146</f>
        <v>0</v>
      </c>
      <c r="M16" s="23">
        <f t="shared" si="3"/>
        <v>59306.5</v>
      </c>
      <c r="N16" s="24">
        <f t="shared" si="4"/>
        <v>406.208904109589</v>
      </c>
      <c r="O16" s="24">
        <f>N16*1.65</f>
        <v>670.2446917808219</v>
      </c>
      <c r="P16" s="24">
        <f t="shared" si="6"/>
        <v>300.8728205128205</v>
      </c>
      <c r="Q16" s="21"/>
      <c r="R16" s="21"/>
    </row>
    <row r="17" spans="1:16" s="4" customFormat="1" ht="11.25">
      <c r="A17" s="19"/>
      <c r="B17" s="3"/>
      <c r="C17" s="3"/>
      <c r="D17" s="10"/>
      <c r="E17" s="10"/>
      <c r="F17" s="12"/>
      <c r="G17" s="13"/>
      <c r="H17" s="13"/>
      <c r="I17" s="14"/>
      <c r="J17" s="15"/>
      <c r="K17" s="14"/>
      <c r="L17" s="13"/>
      <c r="M17" s="9"/>
      <c r="N17" s="16"/>
      <c r="O17" s="17"/>
      <c r="P17" s="24"/>
    </row>
    <row r="18" spans="1:17" ht="10.5" customHeight="1">
      <c r="A18" s="4" t="s">
        <v>12</v>
      </c>
      <c r="B18" s="20" t="s">
        <v>35</v>
      </c>
      <c r="C18" s="20" t="s">
        <v>28</v>
      </c>
      <c r="D18" s="21" t="s">
        <v>31</v>
      </c>
      <c r="F18" s="15">
        <f>598933+5160+3100+9100+7166+4500+19700</f>
        <v>647659</v>
      </c>
      <c r="G18" s="22">
        <f aca="true" t="shared" si="8" ref="G18:G26">F18-(F18/1.12)</f>
        <v>69392.0357142858</v>
      </c>
      <c r="H18" s="22">
        <f aca="true" t="shared" si="9" ref="H18:H26">K18*132</f>
        <v>0</v>
      </c>
      <c r="I18" s="7">
        <f aca="true" t="shared" si="10" ref="I18:I26">F18/12</f>
        <v>53971.583333333336</v>
      </c>
      <c r="J18" s="7"/>
      <c r="K18" s="7">
        <v>0</v>
      </c>
      <c r="L18" s="22">
        <f aca="true" t="shared" si="11" ref="L18:L26">K18*146</f>
        <v>0</v>
      </c>
      <c r="M18" s="23">
        <f aca="true" t="shared" si="12" ref="M18:M26">(F18-L18)/12</f>
        <v>53971.583333333336</v>
      </c>
      <c r="N18" s="24">
        <f aca="true" t="shared" si="13" ref="N18:N26">F18/1752</f>
        <v>369.6683789954338</v>
      </c>
      <c r="O18" s="24">
        <f aca="true" t="shared" si="14" ref="O18:O26">N18*1.65</f>
        <v>609.9528253424658</v>
      </c>
      <c r="P18" s="24">
        <f t="shared" si="6"/>
        <v>268.0425641025641</v>
      </c>
      <c r="Q18" s="25"/>
    </row>
    <row r="19" spans="1:17" ht="10.5" customHeight="1">
      <c r="A19" s="4" t="s">
        <v>13</v>
      </c>
      <c r="F19" s="15">
        <f>611448+5160+3100+9100+7166+4500+19700</f>
        <v>660174</v>
      </c>
      <c r="G19" s="22">
        <f t="shared" si="8"/>
        <v>70732.92857142864</v>
      </c>
      <c r="H19" s="22">
        <f t="shared" si="9"/>
        <v>0</v>
      </c>
      <c r="I19" s="7">
        <f t="shared" si="10"/>
        <v>55014.5</v>
      </c>
      <c r="J19" s="7"/>
      <c r="K19" s="7">
        <v>0</v>
      </c>
      <c r="L19" s="22">
        <f t="shared" si="11"/>
        <v>0</v>
      </c>
      <c r="M19" s="23">
        <f t="shared" si="12"/>
        <v>55014.5</v>
      </c>
      <c r="N19" s="24">
        <f t="shared" si="13"/>
        <v>376.81164383561645</v>
      </c>
      <c r="O19" s="24">
        <f t="shared" si="14"/>
        <v>621.7392123287672</v>
      </c>
      <c r="P19" s="24">
        <f t="shared" si="6"/>
        <v>274.4605128205128</v>
      </c>
      <c r="Q19" s="25"/>
    </row>
    <row r="20" spans="1:17" ht="10.5" customHeight="1">
      <c r="A20" s="4" t="s">
        <v>14</v>
      </c>
      <c r="B20" s="21"/>
      <c r="C20" s="21"/>
      <c r="F20" s="15">
        <f>623965+5160+3100+9100+7166+4500+19700</f>
        <v>672691</v>
      </c>
      <c r="G20" s="22">
        <f t="shared" si="8"/>
        <v>72074.0357142858</v>
      </c>
      <c r="H20" s="22">
        <f t="shared" si="9"/>
        <v>0</v>
      </c>
      <c r="I20" s="7">
        <f t="shared" si="10"/>
        <v>56057.583333333336</v>
      </c>
      <c r="J20" s="7"/>
      <c r="K20" s="7">
        <v>0</v>
      </c>
      <c r="L20" s="22">
        <f t="shared" si="11"/>
        <v>0</v>
      </c>
      <c r="M20" s="23">
        <f t="shared" si="12"/>
        <v>56057.583333333336</v>
      </c>
      <c r="N20" s="24">
        <f t="shared" si="13"/>
        <v>383.9560502283105</v>
      </c>
      <c r="O20" s="24">
        <f t="shared" si="14"/>
        <v>633.5274828767123</v>
      </c>
      <c r="P20" s="24">
        <f t="shared" si="6"/>
        <v>280.87948717948717</v>
      </c>
      <c r="Q20" s="25"/>
    </row>
    <row r="21" spans="1:17" ht="10.5" customHeight="1">
      <c r="A21" s="4" t="s">
        <v>15</v>
      </c>
      <c r="B21" s="20"/>
      <c r="C21" s="20"/>
      <c r="F21" s="15">
        <f>640371+5160+3100+9100+7166+4500+19700</f>
        <v>689097</v>
      </c>
      <c r="G21" s="22">
        <f t="shared" si="8"/>
        <v>73831.82142857148</v>
      </c>
      <c r="H21" s="22">
        <f t="shared" si="9"/>
        <v>0</v>
      </c>
      <c r="I21" s="7">
        <f t="shared" si="10"/>
        <v>57424.75</v>
      </c>
      <c r="J21" s="7"/>
      <c r="K21" s="7">
        <v>0</v>
      </c>
      <c r="L21" s="22">
        <f t="shared" si="11"/>
        <v>0</v>
      </c>
      <c r="M21" s="23">
        <f t="shared" si="12"/>
        <v>57424.75</v>
      </c>
      <c r="N21" s="24">
        <f t="shared" si="13"/>
        <v>393.32020547945206</v>
      </c>
      <c r="O21" s="24">
        <f t="shared" si="14"/>
        <v>648.9783390410959</v>
      </c>
      <c r="P21" s="24">
        <f t="shared" si="6"/>
        <v>289.2928205128205</v>
      </c>
      <c r="Q21" s="25"/>
    </row>
    <row r="22" spans="1:17" ht="10.5" customHeight="1">
      <c r="A22" s="4" t="s">
        <v>16</v>
      </c>
      <c r="F22" s="15">
        <f>675745+19700</f>
        <v>695445</v>
      </c>
      <c r="G22" s="22">
        <f t="shared" si="8"/>
        <v>74511.96428571432</v>
      </c>
      <c r="H22" s="22">
        <f t="shared" si="9"/>
        <v>0</v>
      </c>
      <c r="I22" s="7">
        <f t="shared" si="10"/>
        <v>57953.75</v>
      </c>
      <c r="J22" s="7"/>
      <c r="K22" s="7">
        <v>0</v>
      </c>
      <c r="L22" s="22">
        <f t="shared" si="11"/>
        <v>0</v>
      </c>
      <c r="M22" s="23">
        <f t="shared" si="12"/>
        <v>57953.75</v>
      </c>
      <c r="N22" s="24">
        <f t="shared" si="13"/>
        <v>396.94349315068496</v>
      </c>
      <c r="O22" s="24">
        <f t="shared" si="14"/>
        <v>654.9567636986302</v>
      </c>
      <c r="P22" s="24">
        <f t="shared" si="6"/>
        <v>292.54820512820515</v>
      </c>
      <c r="Q22" s="25"/>
    </row>
    <row r="23" spans="1:17" ht="10.5" customHeight="1">
      <c r="A23" s="4" t="s">
        <v>17</v>
      </c>
      <c r="F23" s="15">
        <f>680745+19700</f>
        <v>700445</v>
      </c>
      <c r="G23" s="22">
        <f t="shared" si="8"/>
        <v>75047.67857142864</v>
      </c>
      <c r="H23" s="22">
        <f t="shared" si="9"/>
        <v>0</v>
      </c>
      <c r="I23" s="7">
        <f t="shared" si="10"/>
        <v>58370.416666666664</v>
      </c>
      <c r="J23" s="7"/>
      <c r="K23" s="7">
        <v>0</v>
      </c>
      <c r="L23" s="22">
        <f t="shared" si="11"/>
        <v>0</v>
      </c>
      <c r="M23" s="23">
        <f t="shared" si="12"/>
        <v>58370.416666666664</v>
      </c>
      <c r="N23" s="24">
        <f t="shared" si="13"/>
        <v>399.79737442922374</v>
      </c>
      <c r="O23" s="24">
        <f t="shared" si="14"/>
        <v>659.6656678082192</v>
      </c>
      <c r="P23" s="24">
        <f t="shared" si="6"/>
        <v>295.1123076923077</v>
      </c>
      <c r="Q23" s="25"/>
    </row>
    <row r="24" spans="1:17" ht="10.5" customHeight="1">
      <c r="A24" s="4" t="s">
        <v>18</v>
      </c>
      <c r="F24" s="15">
        <f>685745+19700</f>
        <v>705445</v>
      </c>
      <c r="G24" s="22">
        <f t="shared" si="8"/>
        <v>75583.39285714296</v>
      </c>
      <c r="H24" s="22">
        <f t="shared" si="9"/>
        <v>0</v>
      </c>
      <c r="I24" s="7">
        <f t="shared" si="10"/>
        <v>58787.083333333336</v>
      </c>
      <c r="J24" s="7"/>
      <c r="K24" s="7">
        <v>0</v>
      </c>
      <c r="L24" s="22">
        <f t="shared" si="11"/>
        <v>0</v>
      </c>
      <c r="M24" s="23">
        <f t="shared" si="12"/>
        <v>58787.083333333336</v>
      </c>
      <c r="N24" s="24">
        <f t="shared" si="13"/>
        <v>402.6512557077626</v>
      </c>
      <c r="O24" s="24">
        <f t="shared" si="14"/>
        <v>664.3745719178082</v>
      </c>
      <c r="P24" s="24">
        <f t="shared" si="6"/>
        <v>297.67641025641024</v>
      </c>
      <c r="Q24" s="25"/>
    </row>
    <row r="25" spans="1:17" ht="10.5" customHeight="1">
      <c r="A25" s="4" t="s">
        <v>19</v>
      </c>
      <c r="F25" s="15">
        <f>690745+19700</f>
        <v>710445</v>
      </c>
      <c r="G25" s="22">
        <f t="shared" si="8"/>
        <v>76119.10714285716</v>
      </c>
      <c r="H25" s="22">
        <f t="shared" si="9"/>
        <v>0</v>
      </c>
      <c r="I25" s="7">
        <f t="shared" si="10"/>
        <v>59203.75</v>
      </c>
      <c r="J25" s="7"/>
      <c r="K25" s="7">
        <v>0</v>
      </c>
      <c r="L25" s="22">
        <f t="shared" si="11"/>
        <v>0</v>
      </c>
      <c r="M25" s="23">
        <f t="shared" si="12"/>
        <v>59203.75</v>
      </c>
      <c r="N25" s="24">
        <f t="shared" si="13"/>
        <v>405.50513698630135</v>
      </c>
      <c r="O25" s="24">
        <f t="shared" si="14"/>
        <v>669.0834760273972</v>
      </c>
      <c r="P25" s="24">
        <f t="shared" si="6"/>
        <v>300.24051282051283</v>
      </c>
      <c r="Q25" s="25"/>
    </row>
    <row r="26" spans="1:16" ht="10.5" customHeight="1">
      <c r="A26" s="4" t="s">
        <v>23</v>
      </c>
      <c r="F26" s="15">
        <f>695745+19700</f>
        <v>715445</v>
      </c>
      <c r="G26" s="22">
        <f t="shared" si="8"/>
        <v>76654.82142857148</v>
      </c>
      <c r="H26" s="22">
        <f t="shared" si="9"/>
        <v>0</v>
      </c>
      <c r="I26" s="7">
        <f t="shared" si="10"/>
        <v>59620.416666666664</v>
      </c>
      <c r="J26" s="7"/>
      <c r="K26" s="7">
        <v>0</v>
      </c>
      <c r="L26" s="22">
        <f t="shared" si="11"/>
        <v>0</v>
      </c>
      <c r="M26" s="23">
        <f t="shared" si="12"/>
        <v>59620.416666666664</v>
      </c>
      <c r="N26" s="24">
        <f t="shared" si="13"/>
        <v>408.3590182648402</v>
      </c>
      <c r="O26" s="24">
        <f t="shared" si="14"/>
        <v>673.7923801369863</v>
      </c>
      <c r="P26" s="24">
        <f t="shared" si="6"/>
        <v>302.8046153846154</v>
      </c>
    </row>
    <row r="27" spans="1:16" ht="10.5" customHeight="1">
      <c r="A27" s="4" t="s">
        <v>37</v>
      </c>
      <c r="F27" s="15">
        <f>700745+19700</f>
        <v>720445</v>
      </c>
      <c r="G27" s="22">
        <f>F27-(F27/1.12)</f>
        <v>77190.5357142858</v>
      </c>
      <c r="H27" s="22">
        <f>K27*132</f>
        <v>0</v>
      </c>
      <c r="I27" s="7">
        <f>F27/12</f>
        <v>60037.083333333336</v>
      </c>
      <c r="J27" s="7"/>
      <c r="K27" s="7">
        <v>0</v>
      </c>
      <c r="L27" s="22">
        <f>K27*146</f>
        <v>0</v>
      </c>
      <c r="M27" s="23">
        <f>(F27-L27)/12</f>
        <v>60037.083333333336</v>
      </c>
      <c r="N27" s="24">
        <f>F27/1752</f>
        <v>411.212899543379</v>
      </c>
      <c r="O27" s="24">
        <f>N27*1.65</f>
        <v>678.5012842465753</v>
      </c>
      <c r="P27" s="24">
        <f t="shared" si="6"/>
        <v>305.368717948718</v>
      </c>
    </row>
    <row r="28" spans="1:16" ht="10.5" customHeight="1">
      <c r="A28" s="4" t="s">
        <v>49</v>
      </c>
      <c r="F28" s="15">
        <f>705745+19700</f>
        <v>725445</v>
      </c>
      <c r="G28" s="22">
        <f>F28-(F28/1.12)</f>
        <v>77726.25000000012</v>
      </c>
      <c r="H28" s="22">
        <f>K28*132</f>
        <v>0</v>
      </c>
      <c r="I28" s="7">
        <f>F28/12</f>
        <v>60453.75</v>
      </c>
      <c r="J28" s="7"/>
      <c r="K28" s="7">
        <v>0</v>
      </c>
      <c r="L28" s="22">
        <f>K28*146</f>
        <v>0</v>
      </c>
      <c r="M28" s="23">
        <f>(F28-L28)/12</f>
        <v>60453.75</v>
      </c>
      <c r="N28" s="24">
        <f>F28/1752</f>
        <v>414.0667808219178</v>
      </c>
      <c r="O28" s="24">
        <f>N28*1.65</f>
        <v>683.2101883561644</v>
      </c>
      <c r="P28" s="24">
        <f t="shared" si="6"/>
        <v>307.9328205128205</v>
      </c>
    </row>
    <row r="29" spans="1:16" ht="10.5" customHeight="1">
      <c r="A29" s="4" t="s">
        <v>52</v>
      </c>
      <c r="F29" s="15">
        <f>706245+4500+19700</f>
        <v>730445</v>
      </c>
      <c r="G29" s="22">
        <f>F29-(F29/1.12)</f>
        <v>78261.96428571432</v>
      </c>
      <c r="H29" s="22">
        <f>K29*132</f>
        <v>0</v>
      </c>
      <c r="I29" s="7">
        <f>F29/12</f>
        <v>60870.416666666664</v>
      </c>
      <c r="J29" s="7"/>
      <c r="K29" s="7">
        <v>0</v>
      </c>
      <c r="L29" s="22">
        <f>K29*146</f>
        <v>0</v>
      </c>
      <c r="M29" s="23">
        <f>(F29-L29)/12</f>
        <v>60870.416666666664</v>
      </c>
      <c r="N29" s="24">
        <f>F29/1752</f>
        <v>416.92066210045664</v>
      </c>
      <c r="O29" s="24">
        <f>N29*1.65</f>
        <v>687.9190924657535</v>
      </c>
      <c r="P29" s="24">
        <f t="shared" si="6"/>
        <v>310.49692307692305</v>
      </c>
    </row>
    <row r="30" ht="10.5" customHeight="1">
      <c r="M30" s="23"/>
    </row>
    <row r="31" ht="10.5" customHeight="1">
      <c r="M31" s="23"/>
    </row>
    <row r="32" ht="10.5" customHeight="1">
      <c r="M32" s="23"/>
    </row>
    <row r="33" ht="10.5" customHeight="1">
      <c r="M33" s="23"/>
    </row>
    <row r="34" ht="10.5" customHeight="1">
      <c r="M34" s="23"/>
    </row>
    <row r="35" ht="10.5" customHeight="1">
      <c r="M35" s="23"/>
    </row>
    <row r="36" spans="11:13" ht="10.5" customHeight="1">
      <c r="K36" s="30"/>
      <c r="M36" s="23"/>
    </row>
    <row r="37" ht="12" customHeight="1"/>
    <row r="38" spans="1:15" s="4" customFormat="1" ht="12" customHeight="1">
      <c r="A38" s="1"/>
      <c r="B38" s="2"/>
      <c r="C38" s="2"/>
      <c r="D38" s="3"/>
      <c r="F38" s="5"/>
      <c r="I38" s="6"/>
      <c r="J38" s="7"/>
      <c r="K38" s="8"/>
      <c r="M38" s="9"/>
      <c r="O38" s="10"/>
    </row>
    <row r="39" spans="1:15" s="4" customFormat="1" ht="12" customHeight="1">
      <c r="A39" s="1"/>
      <c r="B39" s="2"/>
      <c r="C39" s="2"/>
      <c r="D39" s="3"/>
      <c r="F39" s="5"/>
      <c r="I39" s="6"/>
      <c r="J39" s="7"/>
      <c r="K39" s="8"/>
      <c r="M39" s="9"/>
      <c r="O39" s="10"/>
    </row>
    <row r="40" spans="1:13" ht="10.5" customHeight="1">
      <c r="A40" s="9"/>
      <c r="D40" s="26"/>
      <c r="F40" s="15"/>
      <c r="G40" s="22"/>
      <c r="H40" s="22"/>
      <c r="I40" s="7"/>
      <c r="J40" s="7"/>
      <c r="K40" s="7"/>
      <c r="M40" s="23"/>
    </row>
    <row r="41" spans="1:13" ht="10.5" customHeight="1">
      <c r="A41" s="9"/>
      <c r="D41" s="26"/>
      <c r="F41" s="15"/>
      <c r="G41" s="22"/>
      <c r="H41" s="22"/>
      <c r="I41" s="7"/>
      <c r="J41" s="7"/>
      <c r="K41" s="7"/>
      <c r="M41" s="23"/>
    </row>
    <row r="42" spans="1:13" ht="10.5" customHeight="1">
      <c r="A42" s="9"/>
      <c r="F42" s="15"/>
      <c r="G42" s="22"/>
      <c r="H42" s="22"/>
      <c r="I42" s="7"/>
      <c r="J42" s="7"/>
      <c r="K42" s="7"/>
      <c r="M42" s="23"/>
    </row>
    <row r="43" spans="1:13" ht="10.5" customHeight="1">
      <c r="A43" s="9"/>
      <c r="F43" s="15"/>
      <c r="G43" s="22"/>
      <c r="H43" s="22"/>
      <c r="I43" s="7"/>
      <c r="J43" s="7"/>
      <c r="K43" s="7"/>
      <c r="M43" s="23"/>
    </row>
    <row r="44" spans="1:13" ht="10.5" customHeight="1">
      <c r="A44" s="9"/>
      <c r="F44" s="15"/>
      <c r="G44" s="22"/>
      <c r="H44" s="22"/>
      <c r="I44" s="7"/>
      <c r="J44" s="7"/>
      <c r="K44" s="7"/>
      <c r="M44" s="23"/>
    </row>
    <row r="45" spans="1:13" ht="10.5" customHeight="1">
      <c r="A45" s="9"/>
      <c r="F45" s="15"/>
      <c r="G45" s="22"/>
      <c r="H45" s="22"/>
      <c r="I45" s="7"/>
      <c r="J45" s="7"/>
      <c r="K45" s="7"/>
      <c r="M45" s="23"/>
    </row>
    <row r="46" spans="1:13" ht="10.5" customHeight="1">
      <c r="A46" s="9"/>
      <c r="F46" s="15"/>
      <c r="G46" s="22"/>
      <c r="H46" s="22"/>
      <c r="I46" s="7"/>
      <c r="J46" s="7"/>
      <c r="K46" s="7"/>
      <c r="M46" s="23"/>
    </row>
    <row r="47" spans="1:13" ht="10.5" customHeight="1">
      <c r="A47" s="9"/>
      <c r="F47" s="15"/>
      <c r="G47" s="22"/>
      <c r="H47" s="22"/>
      <c r="I47" s="7"/>
      <c r="J47" s="7"/>
      <c r="K47" s="7"/>
      <c r="M47" s="23"/>
    </row>
    <row r="48" spans="1:13" ht="10.5" customHeight="1">
      <c r="A48" s="9"/>
      <c r="F48" s="15"/>
      <c r="G48" s="22"/>
      <c r="H48" s="22"/>
      <c r="I48" s="7"/>
      <c r="J48" s="7"/>
      <c r="K48" s="7"/>
      <c r="M48" s="23"/>
    </row>
    <row r="49" spans="1:13" ht="10.5" customHeight="1">
      <c r="A49" s="9"/>
      <c r="F49" s="15"/>
      <c r="G49" s="22"/>
      <c r="H49" s="22"/>
      <c r="I49" s="7"/>
      <c r="J49" s="7"/>
      <c r="K49" s="7"/>
      <c r="M49" s="23"/>
    </row>
    <row r="50" spans="1:13" ht="10.5" customHeight="1">
      <c r="A50" s="9"/>
      <c r="F50" s="15"/>
      <c r="G50" s="22"/>
      <c r="H50" s="22"/>
      <c r="I50" s="7"/>
      <c r="J50" s="7"/>
      <c r="K50" s="7"/>
      <c r="M50" s="23"/>
    </row>
    <row r="51" spans="1:15" ht="10.5" customHeight="1">
      <c r="A51" s="9"/>
      <c r="F51" s="4"/>
      <c r="G51" s="22"/>
      <c r="H51" s="22"/>
      <c r="I51" s="7"/>
      <c r="J51" s="31"/>
      <c r="K51" s="31"/>
      <c r="L51" s="32"/>
      <c r="M51" s="33"/>
      <c r="N51" s="34"/>
      <c r="O51" s="35"/>
    </row>
    <row r="52" spans="1:13" ht="10.5" customHeight="1">
      <c r="A52" s="36"/>
      <c r="F52" s="15"/>
      <c r="G52" s="22"/>
      <c r="H52" s="22"/>
      <c r="I52" s="7"/>
      <c r="J52" s="7"/>
      <c r="K52" s="7"/>
      <c r="M52" s="23"/>
    </row>
    <row r="53" spans="1:13" ht="10.5" customHeight="1">
      <c r="A53" s="36"/>
      <c r="F53" s="15"/>
      <c r="G53" s="22"/>
      <c r="H53" s="22"/>
      <c r="I53" s="7"/>
      <c r="J53" s="7"/>
      <c r="K53" s="7"/>
      <c r="M53" s="23"/>
    </row>
    <row r="54" spans="1:13" ht="10.5" customHeight="1">
      <c r="A54" s="36"/>
      <c r="F54" s="15"/>
      <c r="G54" s="22"/>
      <c r="H54" s="22"/>
      <c r="I54" s="7"/>
      <c r="J54" s="7"/>
      <c r="K54" s="7"/>
      <c r="M54" s="23"/>
    </row>
    <row r="55" spans="1:13" ht="10.5" customHeight="1">
      <c r="A55" s="36"/>
      <c r="F55" s="15"/>
      <c r="G55" s="22"/>
      <c r="H55" s="22"/>
      <c r="I55" s="7"/>
      <c r="J55" s="7"/>
      <c r="K55" s="7"/>
      <c r="M55" s="23"/>
    </row>
    <row r="56" spans="6:13" ht="10.5" customHeight="1">
      <c r="F56" s="15"/>
      <c r="G56" s="22"/>
      <c r="H56" s="22"/>
      <c r="I56" s="7"/>
      <c r="J56" s="7"/>
      <c r="K56" s="7"/>
      <c r="M56" s="23"/>
    </row>
    <row r="57" spans="6:13" ht="10.5" customHeight="1">
      <c r="F57" s="15"/>
      <c r="G57" s="22"/>
      <c r="H57" s="22"/>
      <c r="I57" s="7"/>
      <c r="J57" s="7"/>
      <c r="K57" s="7"/>
      <c r="M57" s="23"/>
    </row>
    <row r="58" spans="6:13" ht="10.5" customHeight="1">
      <c r="F58" s="15"/>
      <c r="G58" s="22"/>
      <c r="H58" s="22"/>
      <c r="I58" s="7"/>
      <c r="J58" s="7"/>
      <c r="K58" s="7"/>
      <c r="M58" s="23"/>
    </row>
    <row r="59" spans="6:13" ht="10.5" customHeight="1">
      <c r="F59" s="15"/>
      <c r="G59" s="22"/>
      <c r="H59" s="22"/>
      <c r="I59" s="7"/>
      <c r="J59" s="7"/>
      <c r="K59" s="7"/>
      <c r="M59" s="23"/>
    </row>
    <row r="60" spans="6:13" ht="10.5" customHeight="1">
      <c r="F60" s="15"/>
      <c r="G60" s="22"/>
      <c r="H60" s="22"/>
      <c r="I60" s="7"/>
      <c r="J60" s="7"/>
      <c r="K60" s="7"/>
      <c r="M60" s="23"/>
    </row>
    <row r="61" spans="6:13" ht="10.5" customHeight="1">
      <c r="F61" s="15"/>
      <c r="G61" s="22"/>
      <c r="H61" s="22"/>
      <c r="I61" s="7"/>
      <c r="J61" s="7"/>
      <c r="K61" s="7"/>
      <c r="M61" s="23"/>
    </row>
    <row r="62" spans="6:13" ht="10.5" customHeight="1">
      <c r="F62" s="15"/>
      <c r="G62" s="22"/>
      <c r="H62" s="22"/>
      <c r="I62" s="7"/>
      <c r="J62" s="7"/>
      <c r="K62" s="7"/>
      <c r="M62" s="23"/>
    </row>
    <row r="63" spans="6:13" ht="10.5" customHeight="1">
      <c r="F63" s="15"/>
      <c r="G63" s="22"/>
      <c r="H63" s="22"/>
      <c r="I63" s="7"/>
      <c r="J63" s="7"/>
      <c r="K63" s="7"/>
      <c r="M63" s="23"/>
    </row>
    <row r="64" spans="2:13" ht="10.5" customHeight="1">
      <c r="B64" s="20"/>
      <c r="C64" s="20"/>
      <c r="F64" s="15"/>
      <c r="G64" s="22"/>
      <c r="H64" s="22"/>
      <c r="I64" s="7"/>
      <c r="K64" s="7"/>
      <c r="M64" s="23"/>
    </row>
    <row r="65" spans="2:13" ht="10.5" customHeight="1">
      <c r="B65" s="20"/>
      <c r="C65" s="20"/>
      <c r="F65" s="15"/>
      <c r="G65" s="22"/>
      <c r="H65" s="22"/>
      <c r="I65" s="7"/>
      <c r="K65" s="7"/>
      <c r="M65" s="23"/>
    </row>
    <row r="66" spans="2:13" ht="10.5" customHeight="1">
      <c r="B66" s="20"/>
      <c r="C66" s="20"/>
      <c r="F66" s="15"/>
      <c r="G66" s="22"/>
      <c r="H66" s="22"/>
      <c r="I66" s="7"/>
      <c r="K66" s="7"/>
      <c r="M66" s="23"/>
    </row>
    <row r="67" spans="6:13" ht="10.5" customHeight="1">
      <c r="F67" s="15"/>
      <c r="G67" s="22"/>
      <c r="H67" s="22"/>
      <c r="I67" s="7"/>
      <c r="K67" s="7"/>
      <c r="M67" s="23"/>
    </row>
    <row r="68" spans="6:13" ht="10.5" customHeight="1">
      <c r="F68" s="15"/>
      <c r="G68" s="22"/>
      <c r="H68" s="22"/>
      <c r="I68" s="7"/>
      <c r="K68" s="7"/>
      <c r="M68" s="23"/>
    </row>
    <row r="69" spans="6:13" ht="10.5" customHeight="1">
      <c r="F69" s="15"/>
      <c r="G69" s="22"/>
      <c r="H69" s="22"/>
      <c r="I69" s="7"/>
      <c r="K69" s="7"/>
      <c r="M69" s="23"/>
    </row>
    <row r="70" spans="6:13" ht="10.5" customHeight="1">
      <c r="F70" s="15"/>
      <c r="G70" s="22"/>
      <c r="H70" s="22"/>
      <c r="I70" s="7"/>
      <c r="K70" s="7"/>
      <c r="M70" s="23"/>
    </row>
    <row r="71" spans="6:13" ht="10.5" customHeight="1">
      <c r="F71" s="15"/>
      <c r="G71" s="22"/>
      <c r="H71" s="22"/>
      <c r="I71" s="7"/>
      <c r="K71" s="7"/>
      <c r="M71" s="23"/>
    </row>
    <row r="72" spans="6:13" ht="10.5" customHeight="1">
      <c r="F72" s="15"/>
      <c r="G72" s="22"/>
      <c r="H72" s="22"/>
      <c r="I72" s="7"/>
      <c r="K72" s="7"/>
      <c r="M72" s="23"/>
    </row>
    <row r="73" spans="6:13" ht="10.5" customHeight="1">
      <c r="F73" s="15"/>
      <c r="G73" s="22"/>
      <c r="H73" s="22"/>
      <c r="I73" s="7"/>
      <c r="K73" s="7"/>
      <c r="M73" s="23"/>
    </row>
    <row r="74" spans="6:13" ht="10.5" customHeight="1">
      <c r="F74" s="15"/>
      <c r="G74" s="22"/>
      <c r="H74" s="22"/>
      <c r="I74" s="7"/>
      <c r="K74" s="7"/>
      <c r="M74" s="23"/>
    </row>
    <row r="75" spans="7:13" ht="10.5" customHeight="1">
      <c r="G75" s="22"/>
      <c r="H75" s="22"/>
      <c r="M75" s="23"/>
    </row>
    <row r="76" ht="10.5" customHeight="1">
      <c r="M76" s="23"/>
    </row>
    <row r="77" spans="11:13" ht="10.5" customHeight="1">
      <c r="K77" s="7"/>
      <c r="M77" s="23"/>
    </row>
    <row r="78" ht="10.5" customHeight="1">
      <c r="M78" s="23"/>
    </row>
    <row r="79" spans="11:13" ht="10.5" customHeight="1">
      <c r="K79" s="30"/>
      <c r="M79" s="2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77"/>
  <sheetViews>
    <sheetView zoomScalePageLayoutView="0" workbookViewId="0" topLeftCell="A1">
      <selection activeCell="A1" sqref="A1:IV16384"/>
    </sheetView>
  </sheetViews>
  <sheetFormatPr defaultColWidth="10.421875" defaultRowHeight="12.75"/>
  <cols>
    <col min="1" max="1" width="7.421875" style="4" customWidth="1"/>
    <col min="2" max="2" width="17.421875" style="26" customWidth="1"/>
    <col min="3" max="3" width="5.140625" style="26" bestFit="1" customWidth="1"/>
    <col min="4" max="4" width="14.00390625" style="21" customWidth="1"/>
    <col min="5" max="5" width="7.421875" style="21" bestFit="1" customWidth="1"/>
    <col min="6" max="6" width="7.421875" style="27" bestFit="1" customWidth="1"/>
    <col min="7" max="7" width="7.57421875" style="15" customWidth="1"/>
    <col min="8" max="8" width="7.140625" style="15" customWidth="1"/>
    <col min="9" max="9" width="7.7109375" style="28" bestFit="1" customWidth="1"/>
    <col min="10" max="10" width="2.28125" style="29" customWidth="1"/>
    <col min="11" max="11" width="5.421875" style="28" customWidth="1"/>
    <col min="12" max="12" width="6.57421875" style="22" hidden="1" customWidth="1"/>
    <col min="13" max="13" width="10.7109375" style="21" hidden="1" customWidth="1"/>
    <col min="14" max="14" width="10.00390625" style="24" bestFit="1" customWidth="1"/>
    <col min="15" max="15" width="8.00390625" style="24" customWidth="1"/>
    <col min="16" max="16" width="8.57421875" style="24" customWidth="1"/>
    <col min="17" max="16384" width="10.421875" style="21" customWidth="1"/>
  </cols>
  <sheetData>
    <row r="1" spans="1:15" s="4" customFormat="1" ht="12" customHeight="1">
      <c r="A1" s="1" t="s">
        <v>66</v>
      </c>
      <c r="B1" s="2"/>
      <c r="C1" s="2"/>
      <c r="D1" s="3"/>
      <c r="F1" s="5"/>
      <c r="I1" s="6"/>
      <c r="J1" s="7"/>
      <c r="K1" s="8"/>
      <c r="M1" s="9" t="s">
        <v>0</v>
      </c>
      <c r="O1" s="10"/>
    </row>
    <row r="2" spans="1:15" s="4" customFormat="1" ht="12" customHeight="1">
      <c r="A2" s="1"/>
      <c r="B2" s="2"/>
      <c r="C2" s="2"/>
      <c r="D2" s="3"/>
      <c r="F2" s="5"/>
      <c r="I2" s="6"/>
      <c r="J2" s="7"/>
      <c r="K2" s="8"/>
      <c r="M2" s="9"/>
      <c r="O2" s="10"/>
    </row>
    <row r="3" spans="1:17" s="4" customFormat="1" ht="56.25">
      <c r="A3" s="11" t="s">
        <v>22</v>
      </c>
      <c r="B3" s="3" t="s">
        <v>3</v>
      </c>
      <c r="C3" s="3" t="s">
        <v>2</v>
      </c>
      <c r="D3" s="10" t="s">
        <v>4</v>
      </c>
      <c r="E3" s="10" t="s">
        <v>5</v>
      </c>
      <c r="F3" s="12" t="s">
        <v>6</v>
      </c>
      <c r="G3" s="13" t="s">
        <v>7</v>
      </c>
      <c r="H3" s="13" t="s">
        <v>8</v>
      </c>
      <c r="I3" s="14" t="s">
        <v>32</v>
      </c>
      <c r="J3" s="15"/>
      <c r="K3" s="13" t="s">
        <v>20</v>
      </c>
      <c r="L3" s="13"/>
      <c r="M3" s="9"/>
      <c r="N3" s="16" t="s">
        <v>9</v>
      </c>
      <c r="O3" s="17" t="s">
        <v>10</v>
      </c>
      <c r="P3" s="16" t="s">
        <v>11</v>
      </c>
      <c r="Q3" s="18"/>
    </row>
    <row r="4" spans="1:17" s="4" customFormat="1" ht="12.75">
      <c r="A4" s="11"/>
      <c r="B4" s="3"/>
      <c r="C4" s="3"/>
      <c r="D4" s="10"/>
      <c r="E4" s="10"/>
      <c r="F4" s="12"/>
      <c r="G4" s="13"/>
      <c r="H4" s="13"/>
      <c r="I4" s="14"/>
      <c r="J4" s="15"/>
      <c r="K4" s="13"/>
      <c r="L4" s="13"/>
      <c r="M4" s="9"/>
      <c r="N4" s="16"/>
      <c r="O4" s="17"/>
      <c r="P4" s="16"/>
      <c r="Q4" s="18"/>
    </row>
    <row r="5" spans="1:18" s="38" customFormat="1" ht="10.5" customHeight="1">
      <c r="A5" s="4" t="s">
        <v>54</v>
      </c>
      <c r="B5" s="37" t="s">
        <v>26</v>
      </c>
      <c r="C5" s="37" t="s">
        <v>29</v>
      </c>
      <c r="D5" s="37" t="s">
        <v>1</v>
      </c>
      <c r="F5" s="15">
        <f>556816+10000+5340+12000+12000+5160+3100+9100+7166+4500+19700</f>
        <v>644882</v>
      </c>
      <c r="G5" s="22">
        <f>F5-(F5/1.12)</f>
        <v>69094.5</v>
      </c>
      <c r="H5" s="22">
        <f aca="true" t="shared" si="0" ref="H5:H15">J5*132</f>
        <v>0</v>
      </c>
      <c r="I5" s="7">
        <f aca="true" t="shared" si="1" ref="I5:I12">F5/12</f>
        <v>53740.166666666664</v>
      </c>
      <c r="J5" s="29">
        <v>0</v>
      </c>
      <c r="K5" s="29">
        <v>0</v>
      </c>
      <c r="L5" s="22">
        <f aca="true" t="shared" si="2" ref="L5:L13">J5*146</f>
        <v>0</v>
      </c>
      <c r="M5" s="23">
        <f aca="true" t="shared" si="3" ref="M5:M15">(F5-L5)/12</f>
        <v>53740.166666666664</v>
      </c>
      <c r="N5" s="24">
        <f aca="true" t="shared" si="4" ref="N5:N15">F5/1752</f>
        <v>368.0833333333333</v>
      </c>
      <c r="O5" s="24">
        <f aca="true" t="shared" si="5" ref="O5:O13">N5*1.65</f>
        <v>607.3375</v>
      </c>
      <c r="P5" s="24">
        <f aca="true" t="shared" si="6" ref="P5:P27">(F5-(856*146))/1950</f>
        <v>266.61846153846153</v>
      </c>
      <c r="Q5" s="21"/>
      <c r="R5" s="21"/>
    </row>
    <row r="6" spans="1:18" s="38" customFormat="1" ht="10.5" customHeight="1">
      <c r="A6" s="4" t="s">
        <v>55</v>
      </c>
      <c r="B6" s="26"/>
      <c r="C6" s="21"/>
      <c r="F6" s="15">
        <f>568864+10000+5340+12000+12000+5160+3100+9100+7166+4500+19700</f>
        <v>656930</v>
      </c>
      <c r="G6" s="22">
        <f>F6-(F6/1.12)</f>
        <v>70385.35714285716</v>
      </c>
      <c r="H6" s="22">
        <f t="shared" si="0"/>
        <v>0</v>
      </c>
      <c r="I6" s="7">
        <f t="shared" si="1"/>
        <v>54744.166666666664</v>
      </c>
      <c r="J6" s="29">
        <v>0</v>
      </c>
      <c r="K6" s="29">
        <v>0</v>
      </c>
      <c r="L6" s="22">
        <f t="shared" si="2"/>
        <v>0</v>
      </c>
      <c r="M6" s="23">
        <f t="shared" si="3"/>
        <v>54744.166666666664</v>
      </c>
      <c r="N6" s="24">
        <f t="shared" si="4"/>
        <v>374.96004566210047</v>
      </c>
      <c r="O6" s="24">
        <f t="shared" si="5"/>
        <v>618.6840753424657</v>
      </c>
      <c r="P6" s="24">
        <f t="shared" si="6"/>
        <v>272.79692307692306</v>
      </c>
      <c r="Q6" s="21"/>
      <c r="R6" s="21"/>
    </row>
    <row r="7" spans="1:18" s="38" customFormat="1" ht="10.5" customHeight="1">
      <c r="A7" s="4" t="s">
        <v>56</v>
      </c>
      <c r="B7" s="26"/>
      <c r="C7" s="21"/>
      <c r="F7" s="15">
        <f>584808+10000+5340+12000+12000+5160+3100+9100+7166+4500+19700</f>
        <v>672874</v>
      </c>
      <c r="G7" s="22">
        <f>F7-(F7/1.12)</f>
        <v>72093.64285714296</v>
      </c>
      <c r="H7" s="22">
        <f t="shared" si="0"/>
        <v>0</v>
      </c>
      <c r="I7" s="7">
        <f t="shared" si="1"/>
        <v>56072.833333333336</v>
      </c>
      <c r="J7" s="29">
        <v>0</v>
      </c>
      <c r="K7" s="29">
        <v>0</v>
      </c>
      <c r="L7" s="22">
        <f t="shared" si="2"/>
        <v>0</v>
      </c>
      <c r="M7" s="23">
        <f t="shared" si="3"/>
        <v>56072.833333333336</v>
      </c>
      <c r="N7" s="24">
        <f t="shared" si="4"/>
        <v>384.060502283105</v>
      </c>
      <c r="O7" s="24">
        <f t="shared" si="5"/>
        <v>633.6998287671232</v>
      </c>
      <c r="P7" s="24">
        <f t="shared" si="6"/>
        <v>280.97333333333336</v>
      </c>
      <c r="Q7" s="21"/>
      <c r="R7" s="21"/>
    </row>
    <row r="8" spans="1:18" s="38" customFormat="1" ht="10.5" customHeight="1">
      <c r="A8" s="4" t="s">
        <v>57</v>
      </c>
      <c r="B8" s="26"/>
      <c r="C8" s="21"/>
      <c r="F8" s="15">
        <f>656978+19700</f>
        <v>676678</v>
      </c>
      <c r="G8" s="22">
        <f aca="true" t="shared" si="7" ref="G8:G15">F8-(F8/1.12)</f>
        <v>72501.21428571432</v>
      </c>
      <c r="H8" s="22">
        <f t="shared" si="0"/>
        <v>0</v>
      </c>
      <c r="I8" s="7">
        <f>F8/12</f>
        <v>56389.833333333336</v>
      </c>
      <c r="J8" s="29">
        <v>0</v>
      </c>
      <c r="K8" s="29">
        <v>0</v>
      </c>
      <c r="L8" s="22">
        <f>J8*146</f>
        <v>0</v>
      </c>
      <c r="M8" s="23">
        <f t="shared" si="3"/>
        <v>56389.833333333336</v>
      </c>
      <c r="N8" s="24">
        <f t="shared" si="4"/>
        <v>386.23173515981733</v>
      </c>
      <c r="O8" s="24">
        <f>N8*1.65</f>
        <v>637.2823630136986</v>
      </c>
      <c r="P8" s="24">
        <f t="shared" si="6"/>
        <v>282.92410256410255</v>
      </c>
      <c r="Q8" s="21"/>
      <c r="R8" s="21"/>
    </row>
    <row r="9" spans="1:18" s="38" customFormat="1" ht="10.5" customHeight="1">
      <c r="A9" s="4" t="s">
        <v>58</v>
      </c>
      <c r="B9" s="26"/>
      <c r="C9" s="21"/>
      <c r="F9" s="15">
        <f>661978+19700</f>
        <v>681678</v>
      </c>
      <c r="G9" s="22">
        <f t="shared" si="7"/>
        <v>73036.92857142864</v>
      </c>
      <c r="H9" s="22">
        <f t="shared" si="0"/>
        <v>0</v>
      </c>
      <c r="I9" s="7">
        <f>F9/12</f>
        <v>56806.5</v>
      </c>
      <c r="J9" s="29">
        <v>0</v>
      </c>
      <c r="K9" s="29">
        <v>0</v>
      </c>
      <c r="L9" s="22">
        <f>J9*146</f>
        <v>0</v>
      </c>
      <c r="M9" s="23">
        <f t="shared" si="3"/>
        <v>56806.5</v>
      </c>
      <c r="N9" s="24">
        <f t="shared" si="4"/>
        <v>389.08561643835617</v>
      </c>
      <c r="O9" s="24">
        <f>N9*1.65</f>
        <v>641.9912671232877</v>
      </c>
      <c r="P9" s="24">
        <f t="shared" si="6"/>
        <v>285.48820512820515</v>
      </c>
      <c r="Q9" s="21"/>
      <c r="R9" s="21"/>
    </row>
    <row r="10" spans="1:18" s="38" customFormat="1" ht="10.5" customHeight="1">
      <c r="A10" s="4" t="s">
        <v>59</v>
      </c>
      <c r="B10" s="26"/>
      <c r="C10" s="21"/>
      <c r="F10" s="15">
        <f>666978+19700</f>
        <v>686678</v>
      </c>
      <c r="G10" s="22">
        <f t="shared" si="7"/>
        <v>73572.64285714296</v>
      </c>
      <c r="H10" s="22">
        <f t="shared" si="0"/>
        <v>0</v>
      </c>
      <c r="I10" s="7">
        <f>F10/12</f>
        <v>57223.166666666664</v>
      </c>
      <c r="J10" s="29">
        <v>0</v>
      </c>
      <c r="K10" s="29">
        <v>0</v>
      </c>
      <c r="L10" s="22">
        <f>J10*146</f>
        <v>0</v>
      </c>
      <c r="M10" s="23">
        <f t="shared" si="3"/>
        <v>57223.166666666664</v>
      </c>
      <c r="N10" s="24">
        <f t="shared" si="4"/>
        <v>391.939497716895</v>
      </c>
      <c r="O10" s="24">
        <f>N10*1.65</f>
        <v>646.7001712328768</v>
      </c>
      <c r="P10" s="24">
        <f t="shared" si="6"/>
        <v>288.0523076923077</v>
      </c>
      <c r="Q10" s="21"/>
      <c r="R10" s="21"/>
    </row>
    <row r="11" spans="1:18" s="38" customFormat="1" ht="10.5" customHeight="1">
      <c r="A11" s="4" t="s">
        <v>60</v>
      </c>
      <c r="B11" s="26"/>
      <c r="C11" s="21"/>
      <c r="F11" s="15">
        <f>671978+19700</f>
        <v>691678</v>
      </c>
      <c r="G11" s="22">
        <f t="shared" si="7"/>
        <v>74108.35714285716</v>
      </c>
      <c r="H11" s="22">
        <f t="shared" si="0"/>
        <v>0</v>
      </c>
      <c r="I11" s="7">
        <f>F11/12</f>
        <v>57639.833333333336</v>
      </c>
      <c r="J11" s="29">
        <v>0</v>
      </c>
      <c r="K11" s="29">
        <v>0</v>
      </c>
      <c r="L11" s="22">
        <f>J11*146</f>
        <v>0</v>
      </c>
      <c r="M11" s="23">
        <f t="shared" si="3"/>
        <v>57639.833333333336</v>
      </c>
      <c r="N11" s="24">
        <f t="shared" si="4"/>
        <v>394.7933789954338</v>
      </c>
      <c r="O11" s="24">
        <f>N11*1.65</f>
        <v>651.4090753424657</v>
      </c>
      <c r="P11" s="24">
        <f t="shared" si="6"/>
        <v>290.61641025641023</v>
      </c>
      <c r="Q11" s="21"/>
      <c r="R11" s="21"/>
    </row>
    <row r="12" spans="1:18" s="38" customFormat="1" ht="10.5" customHeight="1">
      <c r="A12" s="4" t="s">
        <v>61</v>
      </c>
      <c r="B12" s="26"/>
      <c r="C12" s="21"/>
      <c r="F12" s="15">
        <f>676978+19700</f>
        <v>696678</v>
      </c>
      <c r="G12" s="22">
        <f t="shared" si="7"/>
        <v>74644.07142857148</v>
      </c>
      <c r="H12" s="22">
        <f t="shared" si="0"/>
        <v>0</v>
      </c>
      <c r="I12" s="7">
        <f t="shared" si="1"/>
        <v>58056.5</v>
      </c>
      <c r="J12" s="29">
        <v>0</v>
      </c>
      <c r="K12" s="29">
        <v>0</v>
      </c>
      <c r="L12" s="22">
        <f t="shared" si="2"/>
        <v>0</v>
      </c>
      <c r="M12" s="23">
        <f t="shared" si="3"/>
        <v>58056.5</v>
      </c>
      <c r="N12" s="24">
        <f t="shared" si="4"/>
        <v>397.6472602739726</v>
      </c>
      <c r="O12" s="24">
        <f t="shared" si="5"/>
        <v>656.1179794520548</v>
      </c>
      <c r="P12" s="24">
        <f t="shared" si="6"/>
        <v>293.18051282051283</v>
      </c>
      <c r="Q12" s="21"/>
      <c r="R12" s="21"/>
    </row>
    <row r="13" spans="1:18" s="38" customFormat="1" ht="10.5" customHeight="1">
      <c r="A13" s="4" t="s">
        <v>62</v>
      </c>
      <c r="B13" s="26"/>
      <c r="C13" s="21"/>
      <c r="F13" s="15">
        <f>681978+19700</f>
        <v>701678</v>
      </c>
      <c r="G13" s="22">
        <f t="shared" si="7"/>
        <v>75179.7857142858</v>
      </c>
      <c r="H13" s="22">
        <f t="shared" si="0"/>
        <v>0</v>
      </c>
      <c r="I13" s="7">
        <f>F13/12</f>
        <v>58473.166666666664</v>
      </c>
      <c r="J13" s="29">
        <v>0</v>
      </c>
      <c r="K13" s="29">
        <v>0</v>
      </c>
      <c r="L13" s="22">
        <f t="shared" si="2"/>
        <v>0</v>
      </c>
      <c r="M13" s="23">
        <f t="shared" si="3"/>
        <v>58473.166666666664</v>
      </c>
      <c r="N13" s="24">
        <f t="shared" si="4"/>
        <v>400.5011415525114</v>
      </c>
      <c r="O13" s="24">
        <f t="shared" si="5"/>
        <v>660.8268835616437</v>
      </c>
      <c r="P13" s="24">
        <f t="shared" si="6"/>
        <v>295.7446153846154</v>
      </c>
      <c r="Q13" s="21"/>
      <c r="R13" s="21"/>
    </row>
    <row r="14" spans="1:18" s="38" customFormat="1" ht="10.5" customHeight="1">
      <c r="A14" s="4" t="s">
        <v>63</v>
      </c>
      <c r="B14" s="26"/>
      <c r="C14" s="21"/>
      <c r="F14" s="15">
        <f>686978+19700</f>
        <v>706678</v>
      </c>
      <c r="G14" s="22">
        <f t="shared" si="7"/>
        <v>75715.50000000012</v>
      </c>
      <c r="H14" s="22">
        <f t="shared" si="0"/>
        <v>0</v>
      </c>
      <c r="I14" s="7">
        <f>F14/12</f>
        <v>58889.833333333336</v>
      </c>
      <c r="J14" s="29">
        <v>0</v>
      </c>
      <c r="K14" s="29">
        <v>0</v>
      </c>
      <c r="L14" s="22">
        <f>J14*146</f>
        <v>0</v>
      </c>
      <c r="M14" s="23">
        <f t="shared" si="3"/>
        <v>58889.833333333336</v>
      </c>
      <c r="N14" s="24">
        <f t="shared" si="4"/>
        <v>403.35502283105023</v>
      </c>
      <c r="O14" s="24">
        <f>N14*1.65</f>
        <v>665.5357876712328</v>
      </c>
      <c r="P14" s="24">
        <f t="shared" si="6"/>
        <v>298.30871794871797</v>
      </c>
      <c r="Q14" s="21"/>
      <c r="R14" s="21"/>
    </row>
    <row r="15" spans="1:18" s="38" customFormat="1" ht="10.5" customHeight="1">
      <c r="A15" s="4" t="s">
        <v>64</v>
      </c>
      <c r="B15" s="26"/>
      <c r="C15" s="21"/>
      <c r="F15" s="15">
        <f>691978+19700</f>
        <v>711678</v>
      </c>
      <c r="G15" s="22">
        <f t="shared" si="7"/>
        <v>76251.21428571432</v>
      </c>
      <c r="H15" s="22">
        <f t="shared" si="0"/>
        <v>0</v>
      </c>
      <c r="I15" s="7">
        <f>F15/12</f>
        <v>59306.5</v>
      </c>
      <c r="J15" s="29">
        <v>0</v>
      </c>
      <c r="K15" s="29">
        <v>0</v>
      </c>
      <c r="L15" s="22">
        <f>J15*146</f>
        <v>0</v>
      </c>
      <c r="M15" s="23">
        <f t="shared" si="3"/>
        <v>59306.5</v>
      </c>
      <c r="N15" s="24">
        <f t="shared" si="4"/>
        <v>406.208904109589</v>
      </c>
      <c r="O15" s="24">
        <f>N15*1.65</f>
        <v>670.2446917808219</v>
      </c>
      <c r="P15" s="24">
        <f t="shared" si="6"/>
        <v>300.8728205128205</v>
      </c>
      <c r="Q15" s="21"/>
      <c r="R15" s="21"/>
    </row>
    <row r="16" spans="1:16" s="4" customFormat="1" ht="11.25">
      <c r="A16" s="19"/>
      <c r="B16" s="3"/>
      <c r="C16" s="3"/>
      <c r="D16" s="10"/>
      <c r="E16" s="10"/>
      <c r="F16" s="12"/>
      <c r="G16" s="13"/>
      <c r="H16" s="13"/>
      <c r="I16" s="14"/>
      <c r="J16" s="15"/>
      <c r="K16" s="14"/>
      <c r="L16" s="13"/>
      <c r="M16" s="9"/>
      <c r="N16" s="16"/>
      <c r="O16" s="17"/>
      <c r="P16" s="24"/>
    </row>
    <row r="17" spans="1:17" ht="10.5" customHeight="1">
      <c r="A17" s="4" t="s">
        <v>13</v>
      </c>
      <c r="B17" s="37" t="s">
        <v>35</v>
      </c>
      <c r="C17" s="37" t="s">
        <v>28</v>
      </c>
      <c r="D17" s="4" t="s">
        <v>31</v>
      </c>
      <c r="F17" s="15">
        <f>611448+5160+3100+9100+7166+4500+19700</f>
        <v>660174</v>
      </c>
      <c r="G17" s="22">
        <f aca="true" t="shared" si="8" ref="G17:G24">F17-(F17/1.12)</f>
        <v>70732.92857142864</v>
      </c>
      <c r="H17" s="22">
        <f aca="true" t="shared" si="9" ref="H17:H24">K17*132</f>
        <v>0</v>
      </c>
      <c r="I17" s="7">
        <f aca="true" t="shared" si="10" ref="I17:I24">F17/12</f>
        <v>55014.5</v>
      </c>
      <c r="J17" s="7"/>
      <c r="K17" s="7">
        <v>0</v>
      </c>
      <c r="L17" s="22">
        <f aca="true" t="shared" si="11" ref="L17:L24">K17*146</f>
        <v>0</v>
      </c>
      <c r="M17" s="23">
        <f aca="true" t="shared" si="12" ref="M17:M24">(F17-L17)/12</f>
        <v>55014.5</v>
      </c>
      <c r="N17" s="24">
        <f aca="true" t="shared" si="13" ref="N17:N24">F17/1752</f>
        <v>376.81164383561645</v>
      </c>
      <c r="O17" s="24">
        <f aca="true" t="shared" si="14" ref="O17:O24">N17*1.65</f>
        <v>621.7392123287672</v>
      </c>
      <c r="P17" s="24">
        <f t="shared" si="6"/>
        <v>274.4605128205128</v>
      </c>
      <c r="Q17" s="25"/>
    </row>
    <row r="18" spans="1:17" ht="10.5" customHeight="1">
      <c r="A18" s="4" t="s">
        <v>14</v>
      </c>
      <c r="B18" s="21"/>
      <c r="C18" s="21"/>
      <c r="F18" s="15">
        <f>623965+5160+3100+9100+7166+4500+19700</f>
        <v>672691</v>
      </c>
      <c r="G18" s="22">
        <f t="shared" si="8"/>
        <v>72074.0357142858</v>
      </c>
      <c r="H18" s="22">
        <f t="shared" si="9"/>
        <v>0</v>
      </c>
      <c r="I18" s="7">
        <f t="shared" si="10"/>
        <v>56057.583333333336</v>
      </c>
      <c r="J18" s="7"/>
      <c r="K18" s="7">
        <v>0</v>
      </c>
      <c r="L18" s="22">
        <f t="shared" si="11"/>
        <v>0</v>
      </c>
      <c r="M18" s="23">
        <f t="shared" si="12"/>
        <v>56057.583333333336</v>
      </c>
      <c r="N18" s="24">
        <f t="shared" si="13"/>
        <v>383.9560502283105</v>
      </c>
      <c r="O18" s="24">
        <f t="shared" si="14"/>
        <v>633.5274828767123</v>
      </c>
      <c r="P18" s="24">
        <f t="shared" si="6"/>
        <v>280.87948717948717</v>
      </c>
      <c r="Q18" s="25"/>
    </row>
    <row r="19" spans="1:17" ht="10.5" customHeight="1">
      <c r="A19" s="4" t="s">
        <v>15</v>
      </c>
      <c r="B19" s="20"/>
      <c r="C19" s="20"/>
      <c r="F19" s="15">
        <f>640371+5160+3100+9100+7166+4500+19700</f>
        <v>689097</v>
      </c>
      <c r="G19" s="22">
        <f t="shared" si="8"/>
        <v>73831.82142857148</v>
      </c>
      <c r="H19" s="22">
        <f t="shared" si="9"/>
        <v>0</v>
      </c>
      <c r="I19" s="7">
        <f t="shared" si="10"/>
        <v>57424.75</v>
      </c>
      <c r="J19" s="7"/>
      <c r="K19" s="7">
        <v>0</v>
      </c>
      <c r="L19" s="22">
        <f t="shared" si="11"/>
        <v>0</v>
      </c>
      <c r="M19" s="23">
        <f t="shared" si="12"/>
        <v>57424.75</v>
      </c>
      <c r="N19" s="24">
        <f t="shared" si="13"/>
        <v>393.32020547945206</v>
      </c>
      <c r="O19" s="24">
        <f t="shared" si="14"/>
        <v>648.9783390410959</v>
      </c>
      <c r="P19" s="24">
        <f t="shared" si="6"/>
        <v>289.2928205128205</v>
      </c>
      <c r="Q19" s="25"/>
    </row>
    <row r="20" spans="1:17" ht="10.5" customHeight="1">
      <c r="A20" s="4" t="s">
        <v>16</v>
      </c>
      <c r="F20" s="15">
        <f>675745+19700</f>
        <v>695445</v>
      </c>
      <c r="G20" s="22">
        <f t="shared" si="8"/>
        <v>74511.96428571432</v>
      </c>
      <c r="H20" s="22">
        <f t="shared" si="9"/>
        <v>0</v>
      </c>
      <c r="I20" s="7">
        <f t="shared" si="10"/>
        <v>57953.75</v>
      </c>
      <c r="J20" s="7"/>
      <c r="K20" s="7">
        <v>0</v>
      </c>
      <c r="L20" s="22">
        <f t="shared" si="11"/>
        <v>0</v>
      </c>
      <c r="M20" s="23">
        <f t="shared" si="12"/>
        <v>57953.75</v>
      </c>
      <c r="N20" s="24">
        <f t="shared" si="13"/>
        <v>396.94349315068496</v>
      </c>
      <c r="O20" s="24">
        <f t="shared" si="14"/>
        <v>654.9567636986302</v>
      </c>
      <c r="P20" s="24">
        <f t="shared" si="6"/>
        <v>292.54820512820515</v>
      </c>
      <c r="Q20" s="25"/>
    </row>
    <row r="21" spans="1:17" ht="10.5" customHeight="1">
      <c r="A21" s="4" t="s">
        <v>17</v>
      </c>
      <c r="F21" s="15">
        <f>680745+19700</f>
        <v>700445</v>
      </c>
      <c r="G21" s="22">
        <f t="shared" si="8"/>
        <v>75047.67857142864</v>
      </c>
      <c r="H21" s="22">
        <f t="shared" si="9"/>
        <v>0</v>
      </c>
      <c r="I21" s="7">
        <f t="shared" si="10"/>
        <v>58370.416666666664</v>
      </c>
      <c r="J21" s="7"/>
      <c r="K21" s="7">
        <v>0</v>
      </c>
      <c r="L21" s="22">
        <f t="shared" si="11"/>
        <v>0</v>
      </c>
      <c r="M21" s="23">
        <f t="shared" si="12"/>
        <v>58370.416666666664</v>
      </c>
      <c r="N21" s="24">
        <f t="shared" si="13"/>
        <v>399.79737442922374</v>
      </c>
      <c r="O21" s="24">
        <f t="shared" si="14"/>
        <v>659.6656678082192</v>
      </c>
      <c r="P21" s="24">
        <f t="shared" si="6"/>
        <v>295.1123076923077</v>
      </c>
      <c r="Q21" s="25"/>
    </row>
    <row r="22" spans="1:17" ht="10.5" customHeight="1">
      <c r="A22" s="4" t="s">
        <v>18</v>
      </c>
      <c r="F22" s="15">
        <f>685745+19700</f>
        <v>705445</v>
      </c>
      <c r="G22" s="22">
        <f t="shared" si="8"/>
        <v>75583.39285714296</v>
      </c>
      <c r="H22" s="22">
        <f t="shared" si="9"/>
        <v>0</v>
      </c>
      <c r="I22" s="7">
        <f t="shared" si="10"/>
        <v>58787.083333333336</v>
      </c>
      <c r="J22" s="7"/>
      <c r="K22" s="7">
        <v>0</v>
      </c>
      <c r="L22" s="22">
        <f t="shared" si="11"/>
        <v>0</v>
      </c>
      <c r="M22" s="23">
        <f t="shared" si="12"/>
        <v>58787.083333333336</v>
      </c>
      <c r="N22" s="24">
        <f t="shared" si="13"/>
        <v>402.6512557077626</v>
      </c>
      <c r="O22" s="24">
        <f t="shared" si="14"/>
        <v>664.3745719178082</v>
      </c>
      <c r="P22" s="24">
        <f t="shared" si="6"/>
        <v>297.67641025641024</v>
      </c>
      <c r="Q22" s="25"/>
    </row>
    <row r="23" spans="1:17" ht="10.5" customHeight="1">
      <c r="A23" s="4" t="s">
        <v>19</v>
      </c>
      <c r="F23" s="15">
        <f>690745+19700</f>
        <v>710445</v>
      </c>
      <c r="G23" s="22">
        <f t="shared" si="8"/>
        <v>76119.10714285716</v>
      </c>
      <c r="H23" s="22">
        <f t="shared" si="9"/>
        <v>0</v>
      </c>
      <c r="I23" s="7">
        <f t="shared" si="10"/>
        <v>59203.75</v>
      </c>
      <c r="J23" s="7"/>
      <c r="K23" s="7">
        <v>0</v>
      </c>
      <c r="L23" s="22">
        <f t="shared" si="11"/>
        <v>0</v>
      </c>
      <c r="M23" s="23">
        <f t="shared" si="12"/>
        <v>59203.75</v>
      </c>
      <c r="N23" s="24">
        <f t="shared" si="13"/>
        <v>405.50513698630135</v>
      </c>
      <c r="O23" s="24">
        <f t="shared" si="14"/>
        <v>669.0834760273972</v>
      </c>
      <c r="P23" s="24">
        <f t="shared" si="6"/>
        <v>300.24051282051283</v>
      </c>
      <c r="Q23" s="25"/>
    </row>
    <row r="24" spans="1:16" ht="10.5" customHeight="1">
      <c r="A24" s="4" t="s">
        <v>23</v>
      </c>
      <c r="F24" s="15">
        <f>695745+19700</f>
        <v>715445</v>
      </c>
      <c r="G24" s="22">
        <f t="shared" si="8"/>
        <v>76654.82142857148</v>
      </c>
      <c r="H24" s="22">
        <f t="shared" si="9"/>
        <v>0</v>
      </c>
      <c r="I24" s="7">
        <f t="shared" si="10"/>
        <v>59620.416666666664</v>
      </c>
      <c r="J24" s="7"/>
      <c r="K24" s="7">
        <v>0</v>
      </c>
      <c r="L24" s="22">
        <f t="shared" si="11"/>
        <v>0</v>
      </c>
      <c r="M24" s="23">
        <f t="shared" si="12"/>
        <v>59620.416666666664</v>
      </c>
      <c r="N24" s="24">
        <f t="shared" si="13"/>
        <v>408.3590182648402</v>
      </c>
      <c r="O24" s="24">
        <f t="shared" si="14"/>
        <v>673.7923801369863</v>
      </c>
      <c r="P24" s="24">
        <f t="shared" si="6"/>
        <v>302.8046153846154</v>
      </c>
    </row>
    <row r="25" spans="1:16" ht="10.5" customHeight="1">
      <c r="A25" s="4" t="s">
        <v>37</v>
      </c>
      <c r="F25" s="15">
        <f>700745+19700</f>
        <v>720445</v>
      </c>
      <c r="G25" s="22">
        <f>F25-(F25/1.12)</f>
        <v>77190.5357142858</v>
      </c>
      <c r="H25" s="22">
        <f>K25*132</f>
        <v>0</v>
      </c>
      <c r="I25" s="7">
        <f>F25/12</f>
        <v>60037.083333333336</v>
      </c>
      <c r="J25" s="7"/>
      <c r="K25" s="7">
        <v>0</v>
      </c>
      <c r="L25" s="22">
        <f>K25*146</f>
        <v>0</v>
      </c>
      <c r="M25" s="23">
        <f>(F25-L25)/12</f>
        <v>60037.083333333336</v>
      </c>
      <c r="N25" s="24">
        <f>F25/1752</f>
        <v>411.212899543379</v>
      </c>
      <c r="O25" s="24">
        <f>N25*1.65</f>
        <v>678.5012842465753</v>
      </c>
      <c r="P25" s="24">
        <f t="shared" si="6"/>
        <v>305.368717948718</v>
      </c>
    </row>
    <row r="26" spans="1:16" ht="10.5" customHeight="1">
      <c r="A26" s="4" t="s">
        <v>49</v>
      </c>
      <c r="F26" s="15">
        <f>705745+19700</f>
        <v>725445</v>
      </c>
      <c r="G26" s="22">
        <f>F26-(F26/1.12)</f>
        <v>77726.25000000012</v>
      </c>
      <c r="H26" s="22">
        <f>K26*132</f>
        <v>0</v>
      </c>
      <c r="I26" s="7">
        <f>F26/12</f>
        <v>60453.75</v>
      </c>
      <c r="J26" s="7"/>
      <c r="K26" s="7">
        <v>0</v>
      </c>
      <c r="L26" s="22">
        <f>K26*146</f>
        <v>0</v>
      </c>
      <c r="M26" s="23">
        <f>(F26-L26)/12</f>
        <v>60453.75</v>
      </c>
      <c r="N26" s="24">
        <f>F26/1752</f>
        <v>414.0667808219178</v>
      </c>
      <c r="O26" s="24">
        <f>N26*1.65</f>
        <v>683.2101883561644</v>
      </c>
      <c r="P26" s="24">
        <f t="shared" si="6"/>
        <v>307.9328205128205</v>
      </c>
    </row>
    <row r="27" spans="1:16" ht="10.5" customHeight="1">
      <c r="A27" s="4" t="s">
        <v>52</v>
      </c>
      <c r="F27" s="15">
        <f>706245+4500+19700</f>
        <v>730445</v>
      </c>
      <c r="G27" s="22">
        <f>F27-(F27/1.12)</f>
        <v>78261.96428571432</v>
      </c>
      <c r="H27" s="22">
        <f>K27*132</f>
        <v>0</v>
      </c>
      <c r="I27" s="7">
        <f>F27/12</f>
        <v>60870.416666666664</v>
      </c>
      <c r="J27" s="7"/>
      <c r="K27" s="7">
        <v>0</v>
      </c>
      <c r="L27" s="22">
        <f>K27*146</f>
        <v>0</v>
      </c>
      <c r="M27" s="23">
        <f>(F27-L27)/12</f>
        <v>60870.416666666664</v>
      </c>
      <c r="N27" s="24">
        <f>F27/1752</f>
        <v>416.92066210045664</v>
      </c>
      <c r="O27" s="24">
        <f>N27*1.65</f>
        <v>687.9190924657535</v>
      </c>
      <c r="P27" s="24">
        <f t="shared" si="6"/>
        <v>310.49692307692305</v>
      </c>
    </row>
    <row r="28" ht="10.5" customHeight="1">
      <c r="M28" s="23"/>
    </row>
    <row r="29" ht="10.5" customHeight="1">
      <c r="M29" s="23"/>
    </row>
    <row r="30" ht="10.5" customHeight="1">
      <c r="M30" s="23"/>
    </row>
    <row r="31" ht="10.5" customHeight="1">
      <c r="M31" s="23"/>
    </row>
    <row r="32" ht="10.5" customHeight="1">
      <c r="M32" s="23"/>
    </row>
    <row r="33" ht="10.5" customHeight="1">
      <c r="M33" s="23"/>
    </row>
    <row r="34" spans="11:13" ht="10.5" customHeight="1">
      <c r="K34" s="30"/>
      <c r="M34" s="23"/>
    </row>
    <row r="35" ht="12" customHeight="1"/>
    <row r="36" spans="1:15" s="4" customFormat="1" ht="12" customHeight="1">
      <c r="A36" s="1"/>
      <c r="B36" s="2"/>
      <c r="C36" s="2"/>
      <c r="D36" s="3"/>
      <c r="F36" s="5"/>
      <c r="I36" s="6"/>
      <c r="J36" s="7"/>
      <c r="K36" s="8"/>
      <c r="M36" s="9"/>
      <c r="O36" s="10"/>
    </row>
    <row r="37" spans="1:15" s="4" customFormat="1" ht="12" customHeight="1">
      <c r="A37" s="1"/>
      <c r="B37" s="2"/>
      <c r="C37" s="2"/>
      <c r="D37" s="3"/>
      <c r="F37" s="5"/>
      <c r="I37" s="6"/>
      <c r="J37" s="7"/>
      <c r="K37" s="8"/>
      <c r="M37" s="9"/>
      <c r="O37" s="10"/>
    </row>
    <row r="38" spans="1:13" ht="10.5" customHeight="1">
      <c r="A38" s="9"/>
      <c r="D38" s="26"/>
      <c r="F38" s="15"/>
      <c r="G38" s="22"/>
      <c r="H38" s="22"/>
      <c r="I38" s="7"/>
      <c r="J38" s="7"/>
      <c r="K38" s="7"/>
      <c r="M38" s="23"/>
    </row>
    <row r="39" spans="1:13" ht="10.5" customHeight="1">
      <c r="A39" s="9"/>
      <c r="D39" s="26"/>
      <c r="F39" s="15"/>
      <c r="G39" s="22"/>
      <c r="H39" s="22"/>
      <c r="I39" s="7"/>
      <c r="J39" s="7"/>
      <c r="K39" s="7"/>
      <c r="M39" s="23"/>
    </row>
    <row r="40" spans="1:13" ht="10.5" customHeight="1">
      <c r="A40" s="9"/>
      <c r="F40" s="15"/>
      <c r="G40" s="22"/>
      <c r="H40" s="22"/>
      <c r="I40" s="7"/>
      <c r="J40" s="7"/>
      <c r="K40" s="7"/>
      <c r="M40" s="23"/>
    </row>
    <row r="41" spans="1:13" ht="10.5" customHeight="1">
      <c r="A41" s="9"/>
      <c r="F41" s="15"/>
      <c r="G41" s="22"/>
      <c r="H41" s="22"/>
      <c r="I41" s="7"/>
      <c r="J41" s="7"/>
      <c r="K41" s="7"/>
      <c r="M41" s="23"/>
    </row>
    <row r="42" spans="1:13" ht="10.5" customHeight="1">
      <c r="A42" s="9"/>
      <c r="F42" s="15"/>
      <c r="G42" s="22"/>
      <c r="H42" s="22"/>
      <c r="I42" s="7"/>
      <c r="J42" s="7"/>
      <c r="K42" s="7"/>
      <c r="M42" s="23"/>
    </row>
    <row r="43" spans="1:13" ht="10.5" customHeight="1">
      <c r="A43" s="9"/>
      <c r="F43" s="15"/>
      <c r="G43" s="22"/>
      <c r="H43" s="22"/>
      <c r="I43" s="7"/>
      <c r="J43" s="7"/>
      <c r="K43" s="7"/>
      <c r="M43" s="23"/>
    </row>
    <row r="44" spans="1:13" ht="10.5" customHeight="1">
      <c r="A44" s="9"/>
      <c r="F44" s="15"/>
      <c r="G44" s="22"/>
      <c r="H44" s="22"/>
      <c r="I44" s="7"/>
      <c r="J44" s="7"/>
      <c r="K44" s="7"/>
      <c r="M44" s="23"/>
    </row>
    <row r="45" spans="1:13" ht="10.5" customHeight="1">
      <c r="A45" s="9"/>
      <c r="F45" s="15"/>
      <c r="G45" s="22"/>
      <c r="H45" s="22"/>
      <c r="I45" s="7"/>
      <c r="J45" s="7"/>
      <c r="K45" s="7"/>
      <c r="M45" s="23"/>
    </row>
    <row r="46" spans="1:13" ht="10.5" customHeight="1">
      <c r="A46" s="9"/>
      <c r="F46" s="15"/>
      <c r="G46" s="22"/>
      <c r="H46" s="22"/>
      <c r="I46" s="7"/>
      <c r="J46" s="7"/>
      <c r="K46" s="7"/>
      <c r="M46" s="23"/>
    </row>
    <row r="47" spans="1:13" ht="10.5" customHeight="1">
      <c r="A47" s="9"/>
      <c r="F47" s="15"/>
      <c r="G47" s="22"/>
      <c r="H47" s="22"/>
      <c r="I47" s="7"/>
      <c r="J47" s="7"/>
      <c r="K47" s="7"/>
      <c r="M47" s="23"/>
    </row>
    <row r="48" spans="1:13" ht="10.5" customHeight="1">
      <c r="A48" s="9"/>
      <c r="F48" s="15"/>
      <c r="G48" s="22"/>
      <c r="H48" s="22"/>
      <c r="I48" s="7"/>
      <c r="J48" s="7"/>
      <c r="K48" s="7"/>
      <c r="M48" s="23"/>
    </row>
    <row r="49" spans="1:15" ht="10.5" customHeight="1">
      <c r="A49" s="9"/>
      <c r="F49" s="4"/>
      <c r="G49" s="22"/>
      <c r="H49" s="22"/>
      <c r="I49" s="7"/>
      <c r="J49" s="31"/>
      <c r="K49" s="31"/>
      <c r="L49" s="32"/>
      <c r="M49" s="33"/>
      <c r="N49" s="34"/>
      <c r="O49" s="35"/>
    </row>
    <row r="50" spans="1:13" ht="10.5" customHeight="1">
      <c r="A50" s="36"/>
      <c r="F50" s="15"/>
      <c r="G50" s="22"/>
      <c r="H50" s="22"/>
      <c r="I50" s="7"/>
      <c r="J50" s="7"/>
      <c r="K50" s="7"/>
      <c r="M50" s="23"/>
    </row>
    <row r="51" spans="1:13" ht="10.5" customHeight="1">
      <c r="A51" s="36"/>
      <c r="F51" s="15"/>
      <c r="G51" s="22"/>
      <c r="H51" s="22"/>
      <c r="I51" s="7"/>
      <c r="J51" s="7"/>
      <c r="K51" s="7"/>
      <c r="M51" s="23"/>
    </row>
    <row r="52" spans="1:13" ht="10.5" customHeight="1">
      <c r="A52" s="36"/>
      <c r="F52" s="15"/>
      <c r="G52" s="22"/>
      <c r="H52" s="22"/>
      <c r="I52" s="7"/>
      <c r="J52" s="7"/>
      <c r="K52" s="7"/>
      <c r="M52" s="23"/>
    </row>
    <row r="53" spans="1:13" ht="10.5" customHeight="1">
      <c r="A53" s="36"/>
      <c r="F53" s="15"/>
      <c r="G53" s="22"/>
      <c r="H53" s="22"/>
      <c r="I53" s="7"/>
      <c r="J53" s="7"/>
      <c r="K53" s="7"/>
      <c r="M53" s="23"/>
    </row>
    <row r="54" spans="6:13" ht="10.5" customHeight="1">
      <c r="F54" s="15"/>
      <c r="G54" s="22"/>
      <c r="H54" s="22"/>
      <c r="I54" s="7"/>
      <c r="J54" s="7"/>
      <c r="K54" s="7"/>
      <c r="M54" s="23"/>
    </row>
    <row r="55" spans="6:13" ht="10.5" customHeight="1">
      <c r="F55" s="15"/>
      <c r="G55" s="22"/>
      <c r="H55" s="22"/>
      <c r="I55" s="7"/>
      <c r="J55" s="7"/>
      <c r="K55" s="7"/>
      <c r="M55" s="23"/>
    </row>
    <row r="56" spans="6:13" ht="10.5" customHeight="1">
      <c r="F56" s="15"/>
      <c r="G56" s="22"/>
      <c r="H56" s="22"/>
      <c r="I56" s="7"/>
      <c r="J56" s="7"/>
      <c r="K56" s="7"/>
      <c r="M56" s="23"/>
    </row>
    <row r="57" spans="6:13" ht="10.5" customHeight="1">
      <c r="F57" s="15"/>
      <c r="G57" s="22"/>
      <c r="H57" s="22"/>
      <c r="I57" s="7"/>
      <c r="J57" s="7"/>
      <c r="K57" s="7"/>
      <c r="M57" s="23"/>
    </row>
    <row r="58" spans="6:13" ht="10.5" customHeight="1">
      <c r="F58" s="15"/>
      <c r="G58" s="22"/>
      <c r="H58" s="22"/>
      <c r="I58" s="7"/>
      <c r="J58" s="7"/>
      <c r="K58" s="7"/>
      <c r="M58" s="23"/>
    </row>
    <row r="59" spans="6:13" ht="10.5" customHeight="1">
      <c r="F59" s="15"/>
      <c r="G59" s="22"/>
      <c r="H59" s="22"/>
      <c r="I59" s="7"/>
      <c r="J59" s="7"/>
      <c r="K59" s="7"/>
      <c r="M59" s="23"/>
    </row>
    <row r="60" spans="6:13" ht="10.5" customHeight="1">
      <c r="F60" s="15"/>
      <c r="G60" s="22"/>
      <c r="H60" s="22"/>
      <c r="I60" s="7"/>
      <c r="J60" s="7"/>
      <c r="K60" s="7"/>
      <c r="M60" s="23"/>
    </row>
    <row r="61" spans="6:13" ht="10.5" customHeight="1">
      <c r="F61" s="15"/>
      <c r="G61" s="22"/>
      <c r="H61" s="22"/>
      <c r="I61" s="7"/>
      <c r="J61" s="7"/>
      <c r="K61" s="7"/>
      <c r="M61" s="23"/>
    </row>
    <row r="62" spans="2:13" ht="10.5" customHeight="1">
      <c r="B62" s="20"/>
      <c r="C62" s="20"/>
      <c r="F62" s="15"/>
      <c r="G62" s="22"/>
      <c r="H62" s="22"/>
      <c r="I62" s="7"/>
      <c r="K62" s="7"/>
      <c r="M62" s="23"/>
    </row>
    <row r="63" spans="2:13" ht="10.5" customHeight="1">
      <c r="B63" s="20"/>
      <c r="C63" s="20"/>
      <c r="F63" s="15"/>
      <c r="G63" s="22"/>
      <c r="H63" s="22"/>
      <c r="I63" s="7"/>
      <c r="K63" s="7"/>
      <c r="M63" s="23"/>
    </row>
    <row r="64" spans="2:13" ht="10.5" customHeight="1">
      <c r="B64" s="20"/>
      <c r="C64" s="20"/>
      <c r="F64" s="15"/>
      <c r="G64" s="22"/>
      <c r="H64" s="22"/>
      <c r="I64" s="7"/>
      <c r="K64" s="7"/>
      <c r="M64" s="23"/>
    </row>
    <row r="65" spans="6:13" ht="10.5" customHeight="1">
      <c r="F65" s="15"/>
      <c r="G65" s="22"/>
      <c r="H65" s="22"/>
      <c r="I65" s="7"/>
      <c r="K65" s="7"/>
      <c r="M65" s="23"/>
    </row>
    <row r="66" spans="6:13" ht="10.5" customHeight="1">
      <c r="F66" s="15"/>
      <c r="G66" s="22"/>
      <c r="H66" s="22"/>
      <c r="I66" s="7"/>
      <c r="K66" s="7"/>
      <c r="M66" s="23"/>
    </row>
    <row r="67" spans="6:13" ht="10.5" customHeight="1">
      <c r="F67" s="15"/>
      <c r="G67" s="22"/>
      <c r="H67" s="22"/>
      <c r="I67" s="7"/>
      <c r="K67" s="7"/>
      <c r="M67" s="23"/>
    </row>
    <row r="68" spans="6:13" ht="10.5" customHeight="1">
      <c r="F68" s="15"/>
      <c r="G68" s="22"/>
      <c r="H68" s="22"/>
      <c r="I68" s="7"/>
      <c r="K68" s="7"/>
      <c r="M68" s="23"/>
    </row>
    <row r="69" spans="6:13" ht="10.5" customHeight="1">
      <c r="F69" s="15"/>
      <c r="G69" s="22"/>
      <c r="H69" s="22"/>
      <c r="I69" s="7"/>
      <c r="K69" s="7"/>
      <c r="M69" s="23"/>
    </row>
    <row r="70" spans="6:13" ht="10.5" customHeight="1">
      <c r="F70" s="15"/>
      <c r="G70" s="22"/>
      <c r="H70" s="22"/>
      <c r="I70" s="7"/>
      <c r="K70" s="7"/>
      <c r="M70" s="23"/>
    </row>
    <row r="71" spans="6:13" ht="10.5" customHeight="1">
      <c r="F71" s="15"/>
      <c r="G71" s="22"/>
      <c r="H71" s="22"/>
      <c r="I71" s="7"/>
      <c r="K71" s="7"/>
      <c r="M71" s="23"/>
    </row>
    <row r="72" spans="6:13" ht="10.5" customHeight="1">
      <c r="F72" s="15"/>
      <c r="G72" s="22"/>
      <c r="H72" s="22"/>
      <c r="I72" s="7"/>
      <c r="K72" s="7"/>
      <c r="M72" s="23"/>
    </row>
    <row r="73" spans="7:13" ht="10.5" customHeight="1">
      <c r="G73" s="22"/>
      <c r="H73" s="22"/>
      <c r="M73" s="23"/>
    </row>
    <row r="74" ht="10.5" customHeight="1">
      <c r="M74" s="23"/>
    </row>
    <row r="75" spans="11:13" ht="10.5" customHeight="1">
      <c r="K75" s="7"/>
      <c r="M75" s="23"/>
    </row>
    <row r="76" ht="10.5" customHeight="1">
      <c r="M76" s="23"/>
    </row>
    <row r="77" spans="11:13" ht="10.5" customHeight="1">
      <c r="K77" s="30"/>
      <c r="M77" s="2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77"/>
  <sheetViews>
    <sheetView zoomScalePageLayoutView="0" workbookViewId="0" topLeftCell="A1">
      <selection activeCell="A1" sqref="A1:IV16384"/>
    </sheetView>
  </sheetViews>
  <sheetFormatPr defaultColWidth="10.421875" defaultRowHeight="12.75"/>
  <cols>
    <col min="1" max="1" width="7.421875" style="4" customWidth="1"/>
    <col min="2" max="2" width="17.421875" style="26" customWidth="1"/>
    <col min="3" max="3" width="6.57421875" style="26" customWidth="1"/>
    <col min="4" max="4" width="18.140625" style="21" customWidth="1"/>
    <col min="5" max="5" width="8.7109375" style="21" customWidth="1"/>
    <col min="6" max="6" width="7.421875" style="27" bestFit="1" customWidth="1"/>
    <col min="7" max="7" width="7.57421875" style="15" customWidth="1"/>
    <col min="8" max="8" width="7.140625" style="15" customWidth="1"/>
    <col min="9" max="9" width="7.7109375" style="28" bestFit="1" customWidth="1"/>
    <col min="10" max="10" width="2.28125" style="29" customWidth="1"/>
    <col min="11" max="11" width="5.421875" style="28" customWidth="1"/>
    <col min="12" max="12" width="6.57421875" style="22" hidden="1" customWidth="1"/>
    <col min="13" max="13" width="10.7109375" style="21" hidden="1" customWidth="1"/>
    <col min="14" max="14" width="10.00390625" style="24" bestFit="1" customWidth="1"/>
    <col min="15" max="15" width="8.00390625" style="24" customWidth="1"/>
    <col min="16" max="16" width="8.57421875" style="24" customWidth="1"/>
    <col min="17" max="16384" width="10.421875" style="21" customWidth="1"/>
  </cols>
  <sheetData>
    <row r="1" spans="1:15" s="4" customFormat="1" ht="12" customHeight="1">
      <c r="A1" s="1" t="s">
        <v>93</v>
      </c>
      <c r="B1" s="2"/>
      <c r="C1" s="2"/>
      <c r="D1" s="3"/>
      <c r="F1" s="5"/>
      <c r="I1" s="6"/>
      <c r="J1" s="7"/>
      <c r="K1" s="8"/>
      <c r="M1" s="9" t="s">
        <v>0</v>
      </c>
      <c r="O1" s="10"/>
    </row>
    <row r="2" spans="1:15" s="4" customFormat="1" ht="12" customHeight="1">
      <c r="A2" s="1"/>
      <c r="B2" s="2"/>
      <c r="C2" s="2"/>
      <c r="D2" s="3"/>
      <c r="F2" s="5"/>
      <c r="I2" s="6"/>
      <c r="J2" s="7"/>
      <c r="K2" s="8"/>
      <c r="M2" s="9"/>
      <c r="O2" s="10"/>
    </row>
    <row r="3" spans="1:17" s="4" customFormat="1" ht="56.25">
      <c r="A3" s="11" t="s">
        <v>22</v>
      </c>
      <c r="B3" s="3" t="s">
        <v>3</v>
      </c>
      <c r="C3" s="3" t="s">
        <v>2</v>
      </c>
      <c r="D3" s="10" t="s">
        <v>4</v>
      </c>
      <c r="E3" s="10" t="s">
        <v>5</v>
      </c>
      <c r="F3" s="12" t="s">
        <v>6</v>
      </c>
      <c r="G3" s="13" t="s">
        <v>7</v>
      </c>
      <c r="H3" s="13" t="s">
        <v>8</v>
      </c>
      <c r="I3" s="14" t="s">
        <v>32</v>
      </c>
      <c r="J3" s="15"/>
      <c r="K3" s="13" t="s">
        <v>20</v>
      </c>
      <c r="L3" s="13"/>
      <c r="M3" s="9"/>
      <c r="N3" s="16" t="s">
        <v>9</v>
      </c>
      <c r="O3" s="17" t="s">
        <v>10</v>
      </c>
      <c r="P3" s="16" t="s">
        <v>11</v>
      </c>
      <c r="Q3" s="18"/>
    </row>
    <row r="4" spans="1:17" s="4" customFormat="1" ht="12.75">
      <c r="A4" s="11"/>
      <c r="B4" s="3"/>
      <c r="C4" s="3"/>
      <c r="D4" s="10"/>
      <c r="E4" s="10"/>
      <c r="F4" s="12"/>
      <c r="G4" s="13"/>
      <c r="H4" s="13"/>
      <c r="I4" s="14"/>
      <c r="J4" s="15"/>
      <c r="K4" s="13"/>
      <c r="L4" s="13"/>
      <c r="M4" s="9"/>
      <c r="N4" s="16"/>
      <c r="O4" s="17"/>
      <c r="P4" s="16"/>
      <c r="Q4" s="18"/>
    </row>
    <row r="5" spans="1:18" s="38" customFormat="1" ht="10.5" customHeight="1">
      <c r="A5" s="4" t="s">
        <v>54</v>
      </c>
      <c r="B5" s="37" t="s">
        <v>26</v>
      </c>
      <c r="C5" s="37" t="s">
        <v>82</v>
      </c>
      <c r="D5" s="37" t="s">
        <v>1</v>
      </c>
      <c r="E5" s="21" t="s">
        <v>91</v>
      </c>
      <c r="F5" s="15">
        <f>556816+10000+5340+12000+12000+5160+3100+9100+7166+4500+19700</f>
        <v>644882</v>
      </c>
      <c r="G5" s="22">
        <f>F5-(F5/1.12)</f>
        <v>69094.5</v>
      </c>
      <c r="H5" s="22">
        <f aca="true" t="shared" si="0" ref="H5:H15">J5*132</f>
        <v>0</v>
      </c>
      <c r="I5" s="7">
        <f aca="true" t="shared" si="1" ref="I5:I12">F5/12</f>
        <v>53740.166666666664</v>
      </c>
      <c r="J5" s="29">
        <v>0</v>
      </c>
      <c r="K5" s="29">
        <v>0</v>
      </c>
      <c r="L5" s="22">
        <f aca="true" t="shared" si="2" ref="L5:L13">J5*146</f>
        <v>0</v>
      </c>
      <c r="M5" s="23">
        <f aca="true" t="shared" si="3" ref="M5:M15">(F5-L5)/12</f>
        <v>53740.166666666664</v>
      </c>
      <c r="N5" s="24">
        <f aca="true" t="shared" si="4" ref="N5:N15">F5/1752</f>
        <v>368.0833333333333</v>
      </c>
      <c r="O5" s="24">
        <f aca="true" t="shared" si="5" ref="O5:O13">N5*1.65</f>
        <v>607.3375</v>
      </c>
      <c r="P5" s="24">
        <f aca="true" t="shared" si="6" ref="P5:P27">(F5-(856*146))/1950</f>
        <v>266.61846153846153</v>
      </c>
      <c r="Q5" s="21"/>
      <c r="R5" s="21"/>
    </row>
    <row r="6" spans="1:18" s="38" customFormat="1" ht="10.5" customHeight="1">
      <c r="A6" s="4" t="s">
        <v>55</v>
      </c>
      <c r="B6" s="3" t="s">
        <v>79</v>
      </c>
      <c r="C6" s="4" t="s">
        <v>78</v>
      </c>
      <c r="D6" s="3" t="s">
        <v>77</v>
      </c>
      <c r="E6" s="21"/>
      <c r="F6" s="15">
        <f>568864+10000+5340+12000+12000+5160+3100+9100+7166+4500+19700</f>
        <v>656930</v>
      </c>
      <c r="G6" s="22">
        <f>F6-(F6/1.12)</f>
        <v>70385.35714285716</v>
      </c>
      <c r="H6" s="22">
        <f t="shared" si="0"/>
        <v>0</v>
      </c>
      <c r="I6" s="7">
        <f t="shared" si="1"/>
        <v>54744.166666666664</v>
      </c>
      <c r="J6" s="29">
        <v>0</v>
      </c>
      <c r="K6" s="29">
        <v>0</v>
      </c>
      <c r="L6" s="22">
        <f t="shared" si="2"/>
        <v>0</v>
      </c>
      <c r="M6" s="23">
        <f t="shared" si="3"/>
        <v>54744.166666666664</v>
      </c>
      <c r="N6" s="24">
        <f t="shared" si="4"/>
        <v>374.96004566210047</v>
      </c>
      <c r="O6" s="24">
        <f t="shared" si="5"/>
        <v>618.6840753424657</v>
      </c>
      <c r="P6" s="24">
        <f t="shared" si="6"/>
        <v>272.79692307692306</v>
      </c>
      <c r="Q6" s="21"/>
      <c r="R6" s="21"/>
    </row>
    <row r="7" spans="1:18" s="38" customFormat="1" ht="10.5" customHeight="1">
      <c r="A7" s="4" t="s">
        <v>56</v>
      </c>
      <c r="B7" s="26"/>
      <c r="C7" s="21"/>
      <c r="F7" s="15">
        <f>584808+10000+5340+12000+12000+5160+3100+9100+7166+4500+19700</f>
        <v>672874</v>
      </c>
      <c r="G7" s="22">
        <f>F7-(F7/1.12)</f>
        <v>72093.64285714296</v>
      </c>
      <c r="H7" s="22">
        <f t="shared" si="0"/>
        <v>0</v>
      </c>
      <c r="I7" s="7">
        <f t="shared" si="1"/>
        <v>56072.833333333336</v>
      </c>
      <c r="J7" s="29">
        <v>0</v>
      </c>
      <c r="K7" s="29">
        <v>0</v>
      </c>
      <c r="L7" s="22">
        <f t="shared" si="2"/>
        <v>0</v>
      </c>
      <c r="M7" s="23">
        <f t="shared" si="3"/>
        <v>56072.833333333336</v>
      </c>
      <c r="N7" s="24">
        <f t="shared" si="4"/>
        <v>384.060502283105</v>
      </c>
      <c r="O7" s="24">
        <f t="shared" si="5"/>
        <v>633.6998287671232</v>
      </c>
      <c r="P7" s="24">
        <f t="shared" si="6"/>
        <v>280.97333333333336</v>
      </c>
      <c r="Q7" s="21"/>
      <c r="R7" s="21"/>
    </row>
    <row r="8" spans="1:18" s="38" customFormat="1" ht="10.5" customHeight="1">
      <c r="A8" s="4" t="s">
        <v>57</v>
      </c>
      <c r="B8" s="26"/>
      <c r="C8" s="21"/>
      <c r="F8" s="15">
        <f>656978+19700</f>
        <v>676678</v>
      </c>
      <c r="G8" s="22">
        <f aca="true" t="shared" si="7" ref="G8:G15">F8-(F8/1.12)</f>
        <v>72501.21428571432</v>
      </c>
      <c r="H8" s="22">
        <f t="shared" si="0"/>
        <v>0</v>
      </c>
      <c r="I8" s="7">
        <f>F8/12</f>
        <v>56389.833333333336</v>
      </c>
      <c r="J8" s="29">
        <v>0</v>
      </c>
      <c r="K8" s="29">
        <v>0</v>
      </c>
      <c r="L8" s="22">
        <f>J8*146</f>
        <v>0</v>
      </c>
      <c r="M8" s="23">
        <f t="shared" si="3"/>
        <v>56389.833333333336</v>
      </c>
      <c r="N8" s="24">
        <f t="shared" si="4"/>
        <v>386.23173515981733</v>
      </c>
      <c r="O8" s="24">
        <f>N8*1.65</f>
        <v>637.2823630136986</v>
      </c>
      <c r="P8" s="24">
        <f t="shared" si="6"/>
        <v>282.92410256410255</v>
      </c>
      <c r="Q8" s="21"/>
      <c r="R8" s="21"/>
    </row>
    <row r="9" spans="1:18" s="38" customFormat="1" ht="10.5" customHeight="1">
      <c r="A9" s="4" t="s">
        <v>58</v>
      </c>
      <c r="B9" s="26"/>
      <c r="C9" s="21"/>
      <c r="F9" s="15">
        <f>661978+19700</f>
        <v>681678</v>
      </c>
      <c r="G9" s="22">
        <f t="shared" si="7"/>
        <v>73036.92857142864</v>
      </c>
      <c r="H9" s="22">
        <f t="shared" si="0"/>
        <v>0</v>
      </c>
      <c r="I9" s="7">
        <f>F9/12</f>
        <v>56806.5</v>
      </c>
      <c r="J9" s="29">
        <v>0</v>
      </c>
      <c r="K9" s="29">
        <v>0</v>
      </c>
      <c r="L9" s="22">
        <f>J9*146</f>
        <v>0</v>
      </c>
      <c r="M9" s="23">
        <f t="shared" si="3"/>
        <v>56806.5</v>
      </c>
      <c r="N9" s="24">
        <f t="shared" si="4"/>
        <v>389.08561643835617</v>
      </c>
      <c r="O9" s="24">
        <f>N9*1.65</f>
        <v>641.9912671232877</v>
      </c>
      <c r="P9" s="24">
        <f t="shared" si="6"/>
        <v>285.48820512820515</v>
      </c>
      <c r="Q9" s="21"/>
      <c r="R9" s="21"/>
    </row>
    <row r="10" spans="1:18" s="38" customFormat="1" ht="10.5" customHeight="1">
      <c r="A10" s="4" t="s">
        <v>59</v>
      </c>
      <c r="B10" s="26"/>
      <c r="C10" s="21"/>
      <c r="F10" s="15">
        <f>666978+19700</f>
        <v>686678</v>
      </c>
      <c r="G10" s="22">
        <f t="shared" si="7"/>
        <v>73572.64285714296</v>
      </c>
      <c r="H10" s="22">
        <f t="shared" si="0"/>
        <v>0</v>
      </c>
      <c r="I10" s="7">
        <f>F10/12</f>
        <v>57223.166666666664</v>
      </c>
      <c r="J10" s="29">
        <v>0</v>
      </c>
      <c r="K10" s="29">
        <v>0</v>
      </c>
      <c r="L10" s="22">
        <f>J10*146</f>
        <v>0</v>
      </c>
      <c r="M10" s="23">
        <f t="shared" si="3"/>
        <v>57223.166666666664</v>
      </c>
      <c r="N10" s="24">
        <f t="shared" si="4"/>
        <v>391.939497716895</v>
      </c>
      <c r="O10" s="24">
        <f>N10*1.65</f>
        <v>646.7001712328768</v>
      </c>
      <c r="P10" s="24">
        <f t="shared" si="6"/>
        <v>288.0523076923077</v>
      </c>
      <c r="Q10" s="21"/>
      <c r="R10" s="21"/>
    </row>
    <row r="11" spans="1:18" s="38" customFormat="1" ht="10.5" customHeight="1">
      <c r="A11" s="4" t="s">
        <v>60</v>
      </c>
      <c r="B11" s="26"/>
      <c r="C11" s="21"/>
      <c r="F11" s="15">
        <f>671978+19700</f>
        <v>691678</v>
      </c>
      <c r="G11" s="22">
        <f t="shared" si="7"/>
        <v>74108.35714285716</v>
      </c>
      <c r="H11" s="22">
        <f t="shared" si="0"/>
        <v>0</v>
      </c>
      <c r="I11" s="7">
        <f>F11/12</f>
        <v>57639.833333333336</v>
      </c>
      <c r="J11" s="29">
        <v>0</v>
      </c>
      <c r="K11" s="29">
        <v>0</v>
      </c>
      <c r="L11" s="22">
        <f>J11*146</f>
        <v>0</v>
      </c>
      <c r="M11" s="23">
        <f t="shared" si="3"/>
        <v>57639.833333333336</v>
      </c>
      <c r="N11" s="24">
        <f t="shared" si="4"/>
        <v>394.7933789954338</v>
      </c>
      <c r="O11" s="24">
        <f>N11*1.65</f>
        <v>651.4090753424657</v>
      </c>
      <c r="P11" s="24">
        <f t="shared" si="6"/>
        <v>290.61641025641023</v>
      </c>
      <c r="Q11" s="21"/>
      <c r="R11" s="21"/>
    </row>
    <row r="12" spans="1:18" s="38" customFormat="1" ht="10.5" customHeight="1">
      <c r="A12" s="4" t="s">
        <v>61</v>
      </c>
      <c r="B12" s="26"/>
      <c r="C12" s="21"/>
      <c r="F12" s="15">
        <f>676978+19700</f>
        <v>696678</v>
      </c>
      <c r="G12" s="22">
        <f t="shared" si="7"/>
        <v>74644.07142857148</v>
      </c>
      <c r="H12" s="22">
        <f t="shared" si="0"/>
        <v>0</v>
      </c>
      <c r="I12" s="7">
        <f t="shared" si="1"/>
        <v>58056.5</v>
      </c>
      <c r="J12" s="29">
        <v>0</v>
      </c>
      <c r="K12" s="29">
        <v>0</v>
      </c>
      <c r="L12" s="22">
        <f t="shared" si="2"/>
        <v>0</v>
      </c>
      <c r="M12" s="23">
        <f t="shared" si="3"/>
        <v>58056.5</v>
      </c>
      <c r="N12" s="24">
        <f t="shared" si="4"/>
        <v>397.6472602739726</v>
      </c>
      <c r="O12" s="24">
        <f t="shared" si="5"/>
        <v>656.1179794520548</v>
      </c>
      <c r="P12" s="24">
        <f t="shared" si="6"/>
        <v>293.18051282051283</v>
      </c>
      <c r="Q12" s="21"/>
      <c r="R12" s="21"/>
    </row>
    <row r="13" spans="1:18" s="38" customFormat="1" ht="10.5" customHeight="1">
      <c r="A13" s="4" t="s">
        <v>62</v>
      </c>
      <c r="B13" s="26"/>
      <c r="C13" s="21"/>
      <c r="F13" s="15">
        <f>681978+19700</f>
        <v>701678</v>
      </c>
      <c r="G13" s="22">
        <f t="shared" si="7"/>
        <v>75179.7857142858</v>
      </c>
      <c r="H13" s="22">
        <f t="shared" si="0"/>
        <v>0</v>
      </c>
      <c r="I13" s="7">
        <f>F13/12</f>
        <v>58473.166666666664</v>
      </c>
      <c r="J13" s="29">
        <v>0</v>
      </c>
      <c r="K13" s="29">
        <v>0</v>
      </c>
      <c r="L13" s="22">
        <f t="shared" si="2"/>
        <v>0</v>
      </c>
      <c r="M13" s="23">
        <f t="shared" si="3"/>
        <v>58473.166666666664</v>
      </c>
      <c r="N13" s="24">
        <f t="shared" si="4"/>
        <v>400.5011415525114</v>
      </c>
      <c r="O13" s="24">
        <f t="shared" si="5"/>
        <v>660.8268835616437</v>
      </c>
      <c r="P13" s="24">
        <f t="shared" si="6"/>
        <v>295.7446153846154</v>
      </c>
      <c r="Q13" s="21"/>
      <c r="R13" s="21"/>
    </row>
    <row r="14" spans="1:18" s="38" customFormat="1" ht="10.5" customHeight="1">
      <c r="A14" s="4" t="s">
        <v>63</v>
      </c>
      <c r="B14" s="26"/>
      <c r="C14" s="21"/>
      <c r="F14" s="15">
        <f>686978+19700</f>
        <v>706678</v>
      </c>
      <c r="G14" s="22">
        <f t="shared" si="7"/>
        <v>75715.50000000012</v>
      </c>
      <c r="H14" s="22">
        <f t="shared" si="0"/>
        <v>0</v>
      </c>
      <c r="I14" s="7">
        <f>F14/12</f>
        <v>58889.833333333336</v>
      </c>
      <c r="J14" s="29">
        <v>0</v>
      </c>
      <c r="K14" s="29">
        <v>0</v>
      </c>
      <c r="L14" s="22">
        <f>J14*146</f>
        <v>0</v>
      </c>
      <c r="M14" s="23">
        <f t="shared" si="3"/>
        <v>58889.833333333336</v>
      </c>
      <c r="N14" s="24">
        <f t="shared" si="4"/>
        <v>403.35502283105023</v>
      </c>
      <c r="O14" s="24">
        <f>N14*1.65</f>
        <v>665.5357876712328</v>
      </c>
      <c r="P14" s="24">
        <f t="shared" si="6"/>
        <v>298.30871794871797</v>
      </c>
      <c r="Q14" s="21"/>
      <c r="R14" s="21"/>
    </row>
    <row r="15" spans="1:18" s="38" customFormat="1" ht="10.5" customHeight="1">
      <c r="A15" s="4" t="s">
        <v>64</v>
      </c>
      <c r="B15" s="26"/>
      <c r="C15" s="21"/>
      <c r="F15" s="15">
        <f>691978+19700</f>
        <v>711678</v>
      </c>
      <c r="G15" s="22">
        <f t="shared" si="7"/>
        <v>76251.21428571432</v>
      </c>
      <c r="H15" s="22">
        <f t="shared" si="0"/>
        <v>0</v>
      </c>
      <c r="I15" s="7">
        <f>F15/12</f>
        <v>59306.5</v>
      </c>
      <c r="J15" s="29">
        <v>0</v>
      </c>
      <c r="K15" s="29">
        <v>0</v>
      </c>
      <c r="L15" s="22">
        <f>J15*146</f>
        <v>0</v>
      </c>
      <c r="M15" s="23">
        <f t="shared" si="3"/>
        <v>59306.5</v>
      </c>
      <c r="N15" s="24">
        <f t="shared" si="4"/>
        <v>406.208904109589</v>
      </c>
      <c r="O15" s="24">
        <f>N15*1.65</f>
        <v>670.2446917808219</v>
      </c>
      <c r="P15" s="24">
        <f t="shared" si="6"/>
        <v>300.8728205128205</v>
      </c>
      <c r="Q15" s="21"/>
      <c r="R15" s="21"/>
    </row>
    <row r="16" spans="1:16" s="4" customFormat="1" ht="11.25">
      <c r="A16" s="19"/>
      <c r="B16" s="3"/>
      <c r="C16" s="3"/>
      <c r="D16" s="10"/>
      <c r="E16" s="10"/>
      <c r="F16" s="12"/>
      <c r="G16" s="13"/>
      <c r="H16" s="13"/>
      <c r="I16" s="14"/>
      <c r="J16" s="15"/>
      <c r="K16" s="14"/>
      <c r="L16" s="13"/>
      <c r="M16" s="9"/>
      <c r="N16" s="16"/>
      <c r="O16" s="17"/>
      <c r="P16" s="24"/>
    </row>
    <row r="17" spans="1:17" ht="10.5" customHeight="1">
      <c r="A17" s="4" t="s">
        <v>13</v>
      </c>
      <c r="B17" s="37" t="s">
        <v>35</v>
      </c>
      <c r="C17" s="37" t="s">
        <v>83</v>
      </c>
      <c r="D17" s="37" t="s">
        <v>31</v>
      </c>
      <c r="E17" s="21" t="s">
        <v>91</v>
      </c>
      <c r="F17" s="15">
        <f>611448+5160+3100+9100+7166+4500+19700</f>
        <v>660174</v>
      </c>
      <c r="G17" s="22">
        <f aca="true" t="shared" si="8" ref="G17:G24">F17-(F17/1.12)</f>
        <v>70732.92857142864</v>
      </c>
      <c r="H17" s="22">
        <f aca="true" t="shared" si="9" ref="H17:H24">K17*132</f>
        <v>0</v>
      </c>
      <c r="I17" s="7">
        <f aca="true" t="shared" si="10" ref="I17:I24">F17/12</f>
        <v>55014.5</v>
      </c>
      <c r="J17" s="7"/>
      <c r="K17" s="7">
        <v>0</v>
      </c>
      <c r="L17" s="22">
        <f aca="true" t="shared" si="11" ref="L17:L24">K17*146</f>
        <v>0</v>
      </c>
      <c r="M17" s="23">
        <f aca="true" t="shared" si="12" ref="M17:M24">(F17-L17)/12</f>
        <v>55014.5</v>
      </c>
      <c r="N17" s="24">
        <f aca="true" t="shared" si="13" ref="N17:N24">F17/1752</f>
        <v>376.81164383561645</v>
      </c>
      <c r="O17" s="24">
        <f aca="true" t="shared" si="14" ref="O17:O24">N17*1.65</f>
        <v>621.7392123287672</v>
      </c>
      <c r="P17" s="24">
        <f t="shared" si="6"/>
        <v>274.4605128205128</v>
      </c>
      <c r="Q17" s="25"/>
    </row>
    <row r="18" spans="1:17" ht="10.5" customHeight="1">
      <c r="A18" s="4" t="s">
        <v>14</v>
      </c>
      <c r="B18" s="3" t="s">
        <v>80</v>
      </c>
      <c r="C18" s="4" t="s">
        <v>84</v>
      </c>
      <c r="D18" s="37" t="s">
        <v>81</v>
      </c>
      <c r="F18" s="15">
        <f>623965+5160+3100+9100+7166+4500+19700</f>
        <v>672691</v>
      </c>
      <c r="G18" s="22">
        <f t="shared" si="8"/>
        <v>72074.0357142858</v>
      </c>
      <c r="H18" s="22">
        <f t="shared" si="9"/>
        <v>0</v>
      </c>
      <c r="I18" s="7">
        <f t="shared" si="10"/>
        <v>56057.583333333336</v>
      </c>
      <c r="J18" s="7"/>
      <c r="K18" s="7">
        <v>0</v>
      </c>
      <c r="L18" s="22">
        <f t="shared" si="11"/>
        <v>0</v>
      </c>
      <c r="M18" s="23">
        <f t="shared" si="12"/>
        <v>56057.583333333336</v>
      </c>
      <c r="N18" s="24">
        <f t="shared" si="13"/>
        <v>383.9560502283105</v>
      </c>
      <c r="O18" s="24">
        <f t="shared" si="14"/>
        <v>633.5274828767123</v>
      </c>
      <c r="P18" s="24">
        <f t="shared" si="6"/>
        <v>280.87948717948717</v>
      </c>
      <c r="Q18" s="25"/>
    </row>
    <row r="19" spans="1:17" ht="10.5" customHeight="1">
      <c r="A19" s="4" t="s">
        <v>15</v>
      </c>
      <c r="B19" s="20"/>
      <c r="C19" s="20"/>
      <c r="F19" s="15">
        <f>640371+5160+3100+9100+7166+4500+19700</f>
        <v>689097</v>
      </c>
      <c r="G19" s="22">
        <f t="shared" si="8"/>
        <v>73831.82142857148</v>
      </c>
      <c r="H19" s="22">
        <f t="shared" si="9"/>
        <v>0</v>
      </c>
      <c r="I19" s="7">
        <f t="shared" si="10"/>
        <v>57424.75</v>
      </c>
      <c r="J19" s="7"/>
      <c r="K19" s="7">
        <v>0</v>
      </c>
      <c r="L19" s="22">
        <f t="shared" si="11"/>
        <v>0</v>
      </c>
      <c r="M19" s="23">
        <f t="shared" si="12"/>
        <v>57424.75</v>
      </c>
      <c r="N19" s="24">
        <f t="shared" si="13"/>
        <v>393.32020547945206</v>
      </c>
      <c r="O19" s="24">
        <f t="shared" si="14"/>
        <v>648.9783390410959</v>
      </c>
      <c r="P19" s="24">
        <f t="shared" si="6"/>
        <v>289.2928205128205</v>
      </c>
      <c r="Q19" s="25"/>
    </row>
    <row r="20" spans="1:17" ht="10.5" customHeight="1">
      <c r="A20" s="4" t="s">
        <v>16</v>
      </c>
      <c r="F20" s="15">
        <f>675745+19700</f>
        <v>695445</v>
      </c>
      <c r="G20" s="22">
        <f t="shared" si="8"/>
        <v>74511.96428571432</v>
      </c>
      <c r="H20" s="22">
        <f t="shared" si="9"/>
        <v>0</v>
      </c>
      <c r="I20" s="7">
        <f t="shared" si="10"/>
        <v>57953.75</v>
      </c>
      <c r="J20" s="7"/>
      <c r="K20" s="7">
        <v>0</v>
      </c>
      <c r="L20" s="22">
        <f t="shared" si="11"/>
        <v>0</v>
      </c>
      <c r="M20" s="23">
        <f t="shared" si="12"/>
        <v>57953.75</v>
      </c>
      <c r="N20" s="24">
        <f t="shared" si="13"/>
        <v>396.94349315068496</v>
      </c>
      <c r="O20" s="24">
        <f t="shared" si="14"/>
        <v>654.9567636986302</v>
      </c>
      <c r="P20" s="24">
        <f t="shared" si="6"/>
        <v>292.54820512820515</v>
      </c>
      <c r="Q20" s="25"/>
    </row>
    <row r="21" spans="1:17" ht="10.5" customHeight="1">
      <c r="A21" s="4" t="s">
        <v>17</v>
      </c>
      <c r="F21" s="15">
        <f>680745+19700</f>
        <v>700445</v>
      </c>
      <c r="G21" s="22">
        <f t="shared" si="8"/>
        <v>75047.67857142864</v>
      </c>
      <c r="H21" s="22">
        <f t="shared" si="9"/>
        <v>0</v>
      </c>
      <c r="I21" s="7">
        <f t="shared" si="10"/>
        <v>58370.416666666664</v>
      </c>
      <c r="J21" s="7"/>
      <c r="K21" s="7">
        <v>0</v>
      </c>
      <c r="L21" s="22">
        <f t="shared" si="11"/>
        <v>0</v>
      </c>
      <c r="M21" s="23">
        <f t="shared" si="12"/>
        <v>58370.416666666664</v>
      </c>
      <c r="N21" s="24">
        <f t="shared" si="13"/>
        <v>399.79737442922374</v>
      </c>
      <c r="O21" s="24">
        <f t="shared" si="14"/>
        <v>659.6656678082192</v>
      </c>
      <c r="P21" s="24">
        <f t="shared" si="6"/>
        <v>295.1123076923077</v>
      </c>
      <c r="Q21" s="25"/>
    </row>
    <row r="22" spans="1:17" ht="10.5" customHeight="1">
      <c r="A22" s="4" t="s">
        <v>18</v>
      </c>
      <c r="F22" s="15">
        <f>685745+19700</f>
        <v>705445</v>
      </c>
      <c r="G22" s="22">
        <f t="shared" si="8"/>
        <v>75583.39285714296</v>
      </c>
      <c r="H22" s="22">
        <f t="shared" si="9"/>
        <v>0</v>
      </c>
      <c r="I22" s="7">
        <f t="shared" si="10"/>
        <v>58787.083333333336</v>
      </c>
      <c r="J22" s="7"/>
      <c r="K22" s="7">
        <v>0</v>
      </c>
      <c r="L22" s="22">
        <f t="shared" si="11"/>
        <v>0</v>
      </c>
      <c r="M22" s="23">
        <f t="shared" si="12"/>
        <v>58787.083333333336</v>
      </c>
      <c r="N22" s="24">
        <f t="shared" si="13"/>
        <v>402.6512557077626</v>
      </c>
      <c r="O22" s="24">
        <f t="shared" si="14"/>
        <v>664.3745719178082</v>
      </c>
      <c r="P22" s="24">
        <f t="shared" si="6"/>
        <v>297.67641025641024</v>
      </c>
      <c r="Q22" s="25"/>
    </row>
    <row r="23" spans="1:17" ht="10.5" customHeight="1">
      <c r="A23" s="4" t="s">
        <v>19</v>
      </c>
      <c r="F23" s="15">
        <f>690745+19700</f>
        <v>710445</v>
      </c>
      <c r="G23" s="22">
        <f t="shared" si="8"/>
        <v>76119.10714285716</v>
      </c>
      <c r="H23" s="22">
        <f t="shared" si="9"/>
        <v>0</v>
      </c>
      <c r="I23" s="7">
        <f t="shared" si="10"/>
        <v>59203.75</v>
      </c>
      <c r="J23" s="7"/>
      <c r="K23" s="7">
        <v>0</v>
      </c>
      <c r="L23" s="22">
        <f t="shared" si="11"/>
        <v>0</v>
      </c>
      <c r="M23" s="23">
        <f t="shared" si="12"/>
        <v>59203.75</v>
      </c>
      <c r="N23" s="24">
        <f t="shared" si="13"/>
        <v>405.50513698630135</v>
      </c>
      <c r="O23" s="24">
        <f t="shared" si="14"/>
        <v>669.0834760273972</v>
      </c>
      <c r="P23" s="24">
        <f t="shared" si="6"/>
        <v>300.24051282051283</v>
      </c>
      <c r="Q23" s="25"/>
    </row>
    <row r="24" spans="1:16" ht="10.5" customHeight="1">
      <c r="A24" s="4" t="s">
        <v>23</v>
      </c>
      <c r="F24" s="15">
        <f>695745+19700</f>
        <v>715445</v>
      </c>
      <c r="G24" s="22">
        <f t="shared" si="8"/>
        <v>76654.82142857148</v>
      </c>
      <c r="H24" s="22">
        <f t="shared" si="9"/>
        <v>0</v>
      </c>
      <c r="I24" s="7">
        <f t="shared" si="10"/>
        <v>59620.416666666664</v>
      </c>
      <c r="J24" s="7"/>
      <c r="K24" s="7">
        <v>0</v>
      </c>
      <c r="L24" s="22">
        <f t="shared" si="11"/>
        <v>0</v>
      </c>
      <c r="M24" s="23">
        <f t="shared" si="12"/>
        <v>59620.416666666664</v>
      </c>
      <c r="N24" s="24">
        <f t="shared" si="13"/>
        <v>408.3590182648402</v>
      </c>
      <c r="O24" s="24">
        <f t="shared" si="14"/>
        <v>673.7923801369863</v>
      </c>
      <c r="P24" s="24">
        <f t="shared" si="6"/>
        <v>302.8046153846154</v>
      </c>
    </row>
    <row r="25" spans="1:16" ht="10.5" customHeight="1">
      <c r="A25" s="4" t="s">
        <v>37</v>
      </c>
      <c r="F25" s="15">
        <f>700745+19700</f>
        <v>720445</v>
      </c>
      <c r="G25" s="22">
        <f>F25-(F25/1.12)</f>
        <v>77190.5357142858</v>
      </c>
      <c r="H25" s="22">
        <f>K25*132</f>
        <v>0</v>
      </c>
      <c r="I25" s="7">
        <f>F25/12</f>
        <v>60037.083333333336</v>
      </c>
      <c r="J25" s="7"/>
      <c r="K25" s="7">
        <v>0</v>
      </c>
      <c r="L25" s="22">
        <f>K25*146</f>
        <v>0</v>
      </c>
      <c r="M25" s="23">
        <f>(F25-L25)/12</f>
        <v>60037.083333333336</v>
      </c>
      <c r="N25" s="24">
        <f>F25/1752</f>
        <v>411.212899543379</v>
      </c>
      <c r="O25" s="24">
        <f>N25*1.65</f>
        <v>678.5012842465753</v>
      </c>
      <c r="P25" s="24">
        <f t="shared" si="6"/>
        <v>305.368717948718</v>
      </c>
    </row>
    <row r="26" spans="1:16" ht="10.5" customHeight="1">
      <c r="A26" s="4" t="s">
        <v>49</v>
      </c>
      <c r="F26" s="15">
        <f>705745+19700</f>
        <v>725445</v>
      </c>
      <c r="G26" s="22">
        <f>F26-(F26/1.12)</f>
        <v>77726.25000000012</v>
      </c>
      <c r="H26" s="22">
        <f>K26*132</f>
        <v>0</v>
      </c>
      <c r="I26" s="7">
        <f>F26/12</f>
        <v>60453.75</v>
      </c>
      <c r="J26" s="7"/>
      <c r="K26" s="7">
        <v>0</v>
      </c>
      <c r="L26" s="22">
        <f>K26*146</f>
        <v>0</v>
      </c>
      <c r="M26" s="23">
        <f>(F26-L26)/12</f>
        <v>60453.75</v>
      </c>
      <c r="N26" s="24">
        <f>F26/1752</f>
        <v>414.0667808219178</v>
      </c>
      <c r="O26" s="24">
        <f>N26*1.65</f>
        <v>683.2101883561644</v>
      </c>
      <c r="P26" s="24">
        <f t="shared" si="6"/>
        <v>307.9328205128205</v>
      </c>
    </row>
    <row r="27" spans="1:16" ht="10.5" customHeight="1">
      <c r="A27" s="4" t="s">
        <v>52</v>
      </c>
      <c r="F27" s="15">
        <f>706245+4500+19700</f>
        <v>730445</v>
      </c>
      <c r="G27" s="22">
        <f>F27-(F27/1.12)</f>
        <v>78261.96428571432</v>
      </c>
      <c r="H27" s="22">
        <f>K27*132</f>
        <v>0</v>
      </c>
      <c r="I27" s="7">
        <f>F27/12</f>
        <v>60870.416666666664</v>
      </c>
      <c r="J27" s="7"/>
      <c r="K27" s="7">
        <v>0</v>
      </c>
      <c r="L27" s="22">
        <f>K27*146</f>
        <v>0</v>
      </c>
      <c r="M27" s="23">
        <f>(F27-L27)/12</f>
        <v>60870.416666666664</v>
      </c>
      <c r="N27" s="24">
        <f>F27/1752</f>
        <v>416.92066210045664</v>
      </c>
      <c r="O27" s="24">
        <f>N27*1.65</f>
        <v>687.9190924657535</v>
      </c>
      <c r="P27" s="24">
        <f t="shared" si="6"/>
        <v>310.49692307692305</v>
      </c>
    </row>
    <row r="28" ht="10.5" customHeight="1">
      <c r="M28" s="23"/>
    </row>
    <row r="29" spans="1:18" s="38" customFormat="1" ht="10.5" customHeight="1">
      <c r="A29" s="4" t="s">
        <v>67</v>
      </c>
      <c r="B29" s="3" t="s">
        <v>86</v>
      </c>
      <c r="C29" s="4" t="s">
        <v>85</v>
      </c>
      <c r="D29" s="37" t="s">
        <v>87</v>
      </c>
      <c r="E29" s="21" t="s">
        <v>91</v>
      </c>
      <c r="F29" s="15">
        <f>647895+5160+3100+9100+7166+4500+19700</f>
        <v>696621</v>
      </c>
      <c r="G29" s="22">
        <f aca="true" t="shared" si="15" ref="G29:G38">F29-(F29/1.12)</f>
        <v>74637.96428571432</v>
      </c>
      <c r="H29" s="22">
        <f aca="true" t="shared" si="16" ref="H29:H36">K29*132</f>
        <v>0</v>
      </c>
      <c r="I29" s="7">
        <f aca="true" t="shared" si="17" ref="I29:I38">F29/12</f>
        <v>58051.75</v>
      </c>
      <c r="J29" s="29"/>
      <c r="K29" s="7">
        <v>0</v>
      </c>
      <c r="L29" s="29">
        <v>0</v>
      </c>
      <c r="M29" s="29">
        <f aca="true" t="shared" si="18" ref="M29:M38">892+14+9</f>
        <v>915</v>
      </c>
      <c r="N29" s="24">
        <f aca="true" t="shared" si="19" ref="N29:N38">F29/1752</f>
        <v>397.61472602739724</v>
      </c>
      <c r="O29" s="24">
        <f aca="true" t="shared" si="20" ref="O29:O38">N29*1.65</f>
        <v>656.0642979452055</v>
      </c>
      <c r="P29" s="24">
        <f aca="true" t="shared" si="21" ref="P29:P38">(F29-(856*146))/1950</f>
        <v>293.15128205128207</v>
      </c>
      <c r="R29" s="21"/>
    </row>
    <row r="30" spans="1:18" s="38" customFormat="1" ht="10.5" customHeight="1">
      <c r="A30" s="4" t="s">
        <v>68</v>
      </c>
      <c r="B30" s="26"/>
      <c r="C30" s="21"/>
      <c r="D30" s="20" t="s">
        <v>94</v>
      </c>
      <c r="F30" s="15">
        <f>664342+5160+3100+9100+7166+4500+19700</f>
        <v>713068</v>
      </c>
      <c r="G30" s="22">
        <f t="shared" si="15"/>
        <v>76400.14285714296</v>
      </c>
      <c r="H30" s="22">
        <f t="shared" si="16"/>
        <v>0</v>
      </c>
      <c r="I30" s="7">
        <f t="shared" si="17"/>
        <v>59422.333333333336</v>
      </c>
      <c r="J30" s="29"/>
      <c r="K30" s="7">
        <v>0</v>
      </c>
      <c r="L30" s="29">
        <v>0</v>
      </c>
      <c r="M30" s="29">
        <f t="shared" si="18"/>
        <v>915</v>
      </c>
      <c r="N30" s="24">
        <f t="shared" si="19"/>
        <v>407.00228310502285</v>
      </c>
      <c r="O30" s="24">
        <f t="shared" si="20"/>
        <v>671.5537671232877</v>
      </c>
      <c r="P30" s="24">
        <f t="shared" si="21"/>
        <v>301.58564102564105</v>
      </c>
      <c r="R30" s="21"/>
    </row>
    <row r="31" spans="1:18" s="38" customFormat="1" ht="10.5" customHeight="1">
      <c r="A31" s="4" t="s">
        <v>69</v>
      </c>
      <c r="B31" s="26"/>
      <c r="C31" s="21"/>
      <c r="F31" s="15">
        <f>703562+19700</f>
        <v>723262</v>
      </c>
      <c r="G31" s="22">
        <f t="shared" si="15"/>
        <v>77492.35714285716</v>
      </c>
      <c r="H31" s="22">
        <f t="shared" si="16"/>
        <v>0</v>
      </c>
      <c r="I31" s="7">
        <f t="shared" si="17"/>
        <v>60271.833333333336</v>
      </c>
      <c r="J31" s="29"/>
      <c r="K31" s="7">
        <v>0</v>
      </c>
      <c r="L31" s="29">
        <v>0</v>
      </c>
      <c r="M31" s="29">
        <f t="shared" si="18"/>
        <v>915</v>
      </c>
      <c r="N31" s="24">
        <f t="shared" si="19"/>
        <v>412.82077625570776</v>
      </c>
      <c r="O31" s="24">
        <f t="shared" si="20"/>
        <v>681.1542808219177</v>
      </c>
      <c r="P31" s="24">
        <f t="shared" si="21"/>
        <v>306.81333333333333</v>
      </c>
      <c r="R31" s="21"/>
    </row>
    <row r="32" spans="1:18" s="38" customFormat="1" ht="10.5" customHeight="1">
      <c r="A32" s="4" t="s">
        <v>70</v>
      </c>
      <c r="B32" s="26"/>
      <c r="C32" s="21"/>
      <c r="F32" s="15">
        <f>708562+19700</f>
        <v>728262</v>
      </c>
      <c r="G32" s="22">
        <f t="shared" si="15"/>
        <v>78028.07142857148</v>
      </c>
      <c r="H32" s="22">
        <f t="shared" si="16"/>
        <v>0</v>
      </c>
      <c r="I32" s="7">
        <f t="shared" si="17"/>
        <v>60688.5</v>
      </c>
      <c r="J32" s="29"/>
      <c r="K32" s="7">
        <v>0</v>
      </c>
      <c r="L32" s="29">
        <v>0</v>
      </c>
      <c r="M32" s="29">
        <f t="shared" si="18"/>
        <v>915</v>
      </c>
      <c r="N32" s="24">
        <f t="shared" si="19"/>
        <v>415.6746575342466</v>
      </c>
      <c r="O32" s="24">
        <f t="shared" si="20"/>
        <v>685.8631849315068</v>
      </c>
      <c r="P32" s="24">
        <f t="shared" si="21"/>
        <v>309.3774358974359</v>
      </c>
      <c r="R32" s="21"/>
    </row>
    <row r="33" spans="1:18" s="38" customFormat="1" ht="10.5" customHeight="1">
      <c r="A33" s="4" t="s">
        <v>71</v>
      </c>
      <c r="B33" s="39"/>
      <c r="F33" s="15">
        <f>713562+19700</f>
        <v>733262</v>
      </c>
      <c r="G33" s="22">
        <f t="shared" si="15"/>
        <v>78563.7857142858</v>
      </c>
      <c r="H33" s="22">
        <f t="shared" si="16"/>
        <v>0</v>
      </c>
      <c r="I33" s="7">
        <f t="shared" si="17"/>
        <v>61105.166666666664</v>
      </c>
      <c r="J33" s="29"/>
      <c r="K33" s="7">
        <v>0</v>
      </c>
      <c r="L33" s="29">
        <v>0</v>
      </c>
      <c r="M33" s="29">
        <f t="shared" si="18"/>
        <v>915</v>
      </c>
      <c r="N33" s="24">
        <f t="shared" si="19"/>
        <v>418.52853881278537</v>
      </c>
      <c r="O33" s="24">
        <f t="shared" si="20"/>
        <v>690.5720890410959</v>
      </c>
      <c r="P33" s="24">
        <f t="shared" si="21"/>
        <v>311.94153846153847</v>
      </c>
      <c r="R33" s="21"/>
    </row>
    <row r="34" spans="1:18" s="38" customFormat="1" ht="10.5" customHeight="1">
      <c r="A34" s="4" t="s">
        <v>72</v>
      </c>
      <c r="B34" s="39"/>
      <c r="F34" s="15">
        <f>718562+19700</f>
        <v>738262</v>
      </c>
      <c r="G34" s="22">
        <f t="shared" si="15"/>
        <v>79099.50000000012</v>
      </c>
      <c r="H34" s="22">
        <f t="shared" si="16"/>
        <v>0</v>
      </c>
      <c r="I34" s="7">
        <f t="shared" si="17"/>
        <v>61521.833333333336</v>
      </c>
      <c r="J34" s="29"/>
      <c r="K34" s="7">
        <v>0</v>
      </c>
      <c r="L34" s="29">
        <v>0</v>
      </c>
      <c r="M34" s="29">
        <f t="shared" si="18"/>
        <v>915</v>
      </c>
      <c r="N34" s="24">
        <f t="shared" si="19"/>
        <v>421.3824200913242</v>
      </c>
      <c r="O34" s="24">
        <f t="shared" si="20"/>
        <v>695.2809931506849</v>
      </c>
      <c r="P34" s="24">
        <f t="shared" si="21"/>
        <v>314.505641025641</v>
      </c>
      <c r="R34" s="21"/>
    </row>
    <row r="35" spans="1:18" s="38" customFormat="1" ht="10.5" customHeight="1">
      <c r="A35" s="4" t="s">
        <v>73</v>
      </c>
      <c r="B35" s="39"/>
      <c r="F35" s="15">
        <f>723562+19700</f>
        <v>743262</v>
      </c>
      <c r="G35" s="22">
        <f t="shared" si="15"/>
        <v>79635.21428571432</v>
      </c>
      <c r="H35" s="22">
        <f t="shared" si="16"/>
        <v>0</v>
      </c>
      <c r="I35" s="7">
        <f t="shared" si="17"/>
        <v>61938.5</v>
      </c>
      <c r="J35" s="29"/>
      <c r="K35" s="7">
        <v>0</v>
      </c>
      <c r="L35" s="29">
        <v>0</v>
      </c>
      <c r="M35" s="29">
        <f t="shared" si="18"/>
        <v>915</v>
      </c>
      <c r="N35" s="24">
        <f t="shared" si="19"/>
        <v>424.236301369863</v>
      </c>
      <c r="O35" s="24">
        <f t="shared" si="20"/>
        <v>699.9898972602739</v>
      </c>
      <c r="P35" s="24">
        <f t="shared" si="21"/>
        <v>317.0697435897436</v>
      </c>
      <c r="R35" s="21"/>
    </row>
    <row r="36" spans="1:18" s="38" customFormat="1" ht="10.5" customHeight="1">
      <c r="A36" s="4" t="s">
        <v>74</v>
      </c>
      <c r="B36" s="39"/>
      <c r="F36" s="15">
        <f>728562+19700</f>
        <v>748262</v>
      </c>
      <c r="G36" s="22">
        <f t="shared" si="15"/>
        <v>80170.92857142864</v>
      </c>
      <c r="H36" s="22">
        <f t="shared" si="16"/>
        <v>0</v>
      </c>
      <c r="I36" s="7">
        <f t="shared" si="17"/>
        <v>62355.166666666664</v>
      </c>
      <c r="J36" s="29"/>
      <c r="K36" s="7">
        <v>0</v>
      </c>
      <c r="L36" s="29">
        <v>0</v>
      </c>
      <c r="M36" s="29">
        <f t="shared" si="18"/>
        <v>915</v>
      </c>
      <c r="N36" s="24">
        <f t="shared" si="19"/>
        <v>427.0901826484018</v>
      </c>
      <c r="O36" s="24">
        <f t="shared" si="20"/>
        <v>704.698801369863</v>
      </c>
      <c r="P36" s="24">
        <f t="shared" si="21"/>
        <v>319.63384615384615</v>
      </c>
      <c r="R36" s="21"/>
    </row>
    <row r="37" spans="1:18" s="38" customFormat="1" ht="10.5" customHeight="1">
      <c r="A37" s="4" t="s">
        <v>75</v>
      </c>
      <c r="B37" s="39"/>
      <c r="F37" s="15">
        <f>733562+19700</f>
        <v>753262</v>
      </c>
      <c r="G37" s="22">
        <f t="shared" si="15"/>
        <v>80706.64285714296</v>
      </c>
      <c r="H37" s="22">
        <f>K37*132</f>
        <v>0</v>
      </c>
      <c r="I37" s="7">
        <f t="shared" si="17"/>
        <v>62771.833333333336</v>
      </c>
      <c r="J37" s="29"/>
      <c r="K37" s="7">
        <v>0</v>
      </c>
      <c r="L37" s="29">
        <v>0</v>
      </c>
      <c r="M37" s="29">
        <f t="shared" si="18"/>
        <v>915</v>
      </c>
      <c r="N37" s="24">
        <f t="shared" si="19"/>
        <v>429.94406392694066</v>
      </c>
      <c r="O37" s="24">
        <f t="shared" si="20"/>
        <v>709.407705479452</v>
      </c>
      <c r="P37" s="24">
        <f t="shared" si="21"/>
        <v>322.1979487179487</v>
      </c>
      <c r="R37" s="21"/>
    </row>
    <row r="38" spans="1:18" s="38" customFormat="1" ht="10.5" customHeight="1">
      <c r="A38" s="4" t="s">
        <v>76</v>
      </c>
      <c r="B38" s="39"/>
      <c r="F38" s="15">
        <f>738562+19700</f>
        <v>758262</v>
      </c>
      <c r="G38" s="22">
        <f t="shared" si="15"/>
        <v>81242.35714285716</v>
      </c>
      <c r="H38" s="22">
        <f>K38*132</f>
        <v>0</v>
      </c>
      <c r="I38" s="7">
        <f t="shared" si="17"/>
        <v>63188.5</v>
      </c>
      <c r="J38" s="29"/>
      <c r="K38" s="7">
        <v>0</v>
      </c>
      <c r="L38" s="29">
        <v>0</v>
      </c>
      <c r="M38" s="29">
        <f t="shared" si="18"/>
        <v>915</v>
      </c>
      <c r="N38" s="24">
        <f t="shared" si="19"/>
        <v>432.79794520547944</v>
      </c>
      <c r="O38" s="24">
        <f t="shared" si="20"/>
        <v>714.116609589041</v>
      </c>
      <c r="P38" s="24">
        <f t="shared" si="21"/>
        <v>324.7620512820513</v>
      </c>
      <c r="R38" s="21"/>
    </row>
    <row r="39" spans="1:17" ht="10.5" customHeight="1">
      <c r="A39" s="9"/>
      <c r="F39" s="26"/>
      <c r="G39" s="21"/>
      <c r="I39" s="22"/>
      <c r="J39" s="22"/>
      <c r="K39" s="7"/>
      <c r="L39" s="7"/>
      <c r="M39" s="7"/>
      <c r="N39" s="22"/>
      <c r="O39" s="23"/>
      <c r="Q39" s="24"/>
    </row>
    <row r="40" spans="1:13" ht="10.5" customHeight="1">
      <c r="A40" s="9" t="s">
        <v>88</v>
      </c>
      <c r="B40" s="3" t="s">
        <v>89</v>
      </c>
      <c r="C40" s="4" t="s">
        <v>90</v>
      </c>
      <c r="D40" s="3" t="s">
        <v>92</v>
      </c>
      <c r="E40" s="21" t="s">
        <v>91</v>
      </c>
      <c r="F40" s="15"/>
      <c r="G40" s="22"/>
      <c r="H40" s="22"/>
      <c r="I40" s="7"/>
      <c r="J40" s="7"/>
      <c r="K40" s="7"/>
      <c r="M40" s="23"/>
    </row>
    <row r="41" spans="1:13" ht="10.5" customHeight="1">
      <c r="A41" s="9"/>
      <c r="F41" s="15"/>
      <c r="G41" s="22"/>
      <c r="H41" s="22"/>
      <c r="I41" s="7"/>
      <c r="J41" s="7"/>
      <c r="K41" s="7"/>
      <c r="M41" s="23"/>
    </row>
    <row r="42" spans="1:13" ht="10.5" customHeight="1">
      <c r="A42" s="9"/>
      <c r="F42" s="15"/>
      <c r="G42" s="22"/>
      <c r="H42" s="22"/>
      <c r="I42" s="7"/>
      <c r="J42" s="7"/>
      <c r="K42" s="7"/>
      <c r="M42" s="23"/>
    </row>
    <row r="43" spans="1:13" ht="10.5" customHeight="1">
      <c r="A43" s="9"/>
      <c r="F43" s="15"/>
      <c r="G43" s="22"/>
      <c r="H43" s="22"/>
      <c r="I43" s="7"/>
      <c r="J43" s="7"/>
      <c r="K43" s="7"/>
      <c r="M43" s="23"/>
    </row>
    <row r="44" spans="1:13" ht="10.5" customHeight="1">
      <c r="A44" s="9"/>
      <c r="F44" s="15"/>
      <c r="G44" s="22"/>
      <c r="H44" s="22"/>
      <c r="I44" s="7"/>
      <c r="J44" s="7"/>
      <c r="K44" s="7"/>
      <c r="M44" s="23"/>
    </row>
    <row r="45" spans="1:13" ht="10.5" customHeight="1">
      <c r="A45" s="9"/>
      <c r="F45" s="15"/>
      <c r="G45" s="22"/>
      <c r="H45" s="22"/>
      <c r="I45" s="7"/>
      <c r="J45" s="7"/>
      <c r="K45" s="7"/>
      <c r="M45" s="23"/>
    </row>
    <row r="46" spans="1:13" ht="10.5" customHeight="1">
      <c r="A46" s="9"/>
      <c r="F46" s="15"/>
      <c r="G46" s="22"/>
      <c r="H46" s="22"/>
      <c r="I46" s="7"/>
      <c r="J46" s="7"/>
      <c r="K46" s="7"/>
      <c r="M46" s="23"/>
    </row>
    <row r="47" spans="1:13" ht="10.5" customHeight="1">
      <c r="A47" s="9"/>
      <c r="F47" s="15"/>
      <c r="G47" s="22"/>
      <c r="H47" s="22"/>
      <c r="I47" s="7"/>
      <c r="J47" s="7"/>
      <c r="K47" s="7"/>
      <c r="M47" s="23"/>
    </row>
    <row r="48" spans="1:13" ht="10.5" customHeight="1">
      <c r="A48" s="9"/>
      <c r="F48" s="15"/>
      <c r="G48" s="22"/>
      <c r="H48" s="22"/>
      <c r="I48" s="7"/>
      <c r="J48" s="7"/>
      <c r="K48" s="7"/>
      <c r="M48" s="23"/>
    </row>
    <row r="49" spans="1:15" ht="10.5" customHeight="1">
      <c r="A49" s="9"/>
      <c r="F49" s="4"/>
      <c r="G49" s="22"/>
      <c r="H49" s="22"/>
      <c r="I49" s="7"/>
      <c r="J49" s="31"/>
      <c r="K49" s="31"/>
      <c r="L49" s="32"/>
      <c r="M49" s="33"/>
      <c r="N49" s="34"/>
      <c r="O49" s="35"/>
    </row>
    <row r="50" spans="1:13" ht="10.5" customHeight="1">
      <c r="A50" s="36"/>
      <c r="F50" s="15"/>
      <c r="G50" s="22"/>
      <c r="H50" s="22"/>
      <c r="I50" s="7"/>
      <c r="J50" s="7"/>
      <c r="K50" s="7"/>
      <c r="M50" s="23"/>
    </row>
    <row r="51" spans="1:13" ht="10.5" customHeight="1">
      <c r="A51" s="36"/>
      <c r="F51" s="15"/>
      <c r="G51" s="22"/>
      <c r="H51" s="22"/>
      <c r="I51" s="7"/>
      <c r="J51" s="7"/>
      <c r="K51" s="7"/>
      <c r="M51" s="23"/>
    </row>
    <row r="52" spans="1:13" ht="10.5" customHeight="1">
      <c r="A52" s="36"/>
      <c r="F52" s="15"/>
      <c r="G52" s="22"/>
      <c r="H52" s="22"/>
      <c r="I52" s="7"/>
      <c r="J52" s="7"/>
      <c r="K52" s="7"/>
      <c r="M52" s="23"/>
    </row>
    <row r="53" spans="1:13" ht="10.5" customHeight="1">
      <c r="A53" s="36"/>
      <c r="F53" s="15"/>
      <c r="G53" s="22"/>
      <c r="H53" s="22"/>
      <c r="I53" s="7"/>
      <c r="J53" s="7"/>
      <c r="K53" s="7"/>
      <c r="M53" s="23"/>
    </row>
    <row r="54" spans="6:13" ht="10.5" customHeight="1">
      <c r="F54" s="15"/>
      <c r="G54" s="22"/>
      <c r="H54" s="22"/>
      <c r="I54" s="7"/>
      <c r="J54" s="7"/>
      <c r="K54" s="7"/>
      <c r="M54" s="23"/>
    </row>
    <row r="55" spans="6:13" ht="10.5" customHeight="1">
      <c r="F55" s="15"/>
      <c r="G55" s="22"/>
      <c r="H55" s="22"/>
      <c r="I55" s="7"/>
      <c r="J55" s="7"/>
      <c r="K55" s="7"/>
      <c r="M55" s="23"/>
    </row>
    <row r="56" spans="6:13" ht="10.5" customHeight="1">
      <c r="F56" s="15"/>
      <c r="G56" s="22"/>
      <c r="H56" s="22"/>
      <c r="I56" s="7"/>
      <c r="J56" s="7"/>
      <c r="K56" s="7"/>
      <c r="M56" s="23"/>
    </row>
    <row r="57" spans="6:13" ht="10.5" customHeight="1">
      <c r="F57" s="15"/>
      <c r="G57" s="22"/>
      <c r="H57" s="22"/>
      <c r="I57" s="7"/>
      <c r="J57" s="7"/>
      <c r="K57" s="7"/>
      <c r="M57" s="23"/>
    </row>
    <row r="58" spans="6:13" ht="10.5" customHeight="1">
      <c r="F58" s="15"/>
      <c r="G58" s="22"/>
      <c r="H58" s="22"/>
      <c r="I58" s="7"/>
      <c r="J58" s="7"/>
      <c r="K58" s="7"/>
      <c r="M58" s="23"/>
    </row>
    <row r="59" spans="6:13" ht="10.5" customHeight="1">
      <c r="F59" s="15"/>
      <c r="G59" s="22"/>
      <c r="H59" s="22"/>
      <c r="I59" s="7"/>
      <c r="J59" s="7"/>
      <c r="K59" s="7"/>
      <c r="M59" s="23"/>
    </row>
    <row r="60" spans="6:13" ht="10.5" customHeight="1">
      <c r="F60" s="15"/>
      <c r="G60" s="22"/>
      <c r="H60" s="22"/>
      <c r="I60" s="7"/>
      <c r="J60" s="7"/>
      <c r="K60" s="7"/>
      <c r="M60" s="23"/>
    </row>
    <row r="61" spans="6:13" ht="10.5" customHeight="1">
      <c r="F61" s="15"/>
      <c r="G61" s="22"/>
      <c r="H61" s="22"/>
      <c r="I61" s="7"/>
      <c r="J61" s="7"/>
      <c r="K61" s="7"/>
      <c r="M61" s="23"/>
    </row>
    <row r="62" spans="2:13" ht="10.5" customHeight="1">
      <c r="B62" s="20"/>
      <c r="C62" s="20"/>
      <c r="F62" s="15"/>
      <c r="G62" s="22"/>
      <c r="H62" s="22"/>
      <c r="I62" s="7"/>
      <c r="K62" s="7"/>
      <c r="M62" s="23"/>
    </row>
    <row r="63" spans="2:13" ht="10.5" customHeight="1">
      <c r="B63" s="20"/>
      <c r="C63" s="20"/>
      <c r="F63" s="15"/>
      <c r="G63" s="22"/>
      <c r="H63" s="22"/>
      <c r="I63" s="7"/>
      <c r="K63" s="7"/>
      <c r="M63" s="23"/>
    </row>
    <row r="64" spans="2:13" ht="10.5" customHeight="1">
      <c r="B64" s="20"/>
      <c r="C64" s="20"/>
      <c r="F64" s="15"/>
      <c r="G64" s="22"/>
      <c r="H64" s="22"/>
      <c r="I64" s="7"/>
      <c r="K64" s="7"/>
      <c r="M64" s="23"/>
    </row>
    <row r="65" spans="6:13" ht="10.5" customHeight="1">
      <c r="F65" s="15"/>
      <c r="G65" s="22"/>
      <c r="H65" s="22"/>
      <c r="I65" s="7"/>
      <c r="K65" s="7"/>
      <c r="M65" s="23"/>
    </row>
    <row r="66" spans="6:13" ht="10.5" customHeight="1">
      <c r="F66" s="15"/>
      <c r="G66" s="22"/>
      <c r="H66" s="22"/>
      <c r="I66" s="7"/>
      <c r="K66" s="7"/>
      <c r="M66" s="23"/>
    </row>
    <row r="67" spans="6:13" ht="10.5" customHeight="1">
      <c r="F67" s="15"/>
      <c r="G67" s="22"/>
      <c r="H67" s="22"/>
      <c r="I67" s="7"/>
      <c r="K67" s="7"/>
      <c r="M67" s="23"/>
    </row>
    <row r="68" spans="6:13" ht="10.5" customHeight="1">
      <c r="F68" s="15"/>
      <c r="G68" s="22"/>
      <c r="H68" s="22"/>
      <c r="I68" s="7"/>
      <c r="K68" s="7"/>
      <c r="M68" s="23"/>
    </row>
    <row r="69" spans="6:13" ht="10.5" customHeight="1">
      <c r="F69" s="15"/>
      <c r="G69" s="22"/>
      <c r="H69" s="22"/>
      <c r="I69" s="7"/>
      <c r="K69" s="7"/>
      <c r="M69" s="23"/>
    </row>
    <row r="70" spans="6:13" ht="10.5" customHeight="1">
      <c r="F70" s="15"/>
      <c r="G70" s="22"/>
      <c r="H70" s="22"/>
      <c r="I70" s="7"/>
      <c r="K70" s="7"/>
      <c r="M70" s="23"/>
    </row>
    <row r="71" spans="6:13" ht="10.5" customHeight="1">
      <c r="F71" s="15"/>
      <c r="G71" s="22"/>
      <c r="H71" s="22"/>
      <c r="I71" s="7"/>
      <c r="K71" s="7"/>
      <c r="M71" s="23"/>
    </row>
    <row r="72" spans="6:13" ht="10.5" customHeight="1">
      <c r="F72" s="15"/>
      <c r="G72" s="22"/>
      <c r="H72" s="22"/>
      <c r="I72" s="7"/>
      <c r="K72" s="7"/>
      <c r="M72" s="23"/>
    </row>
    <row r="73" spans="7:13" ht="10.5" customHeight="1">
      <c r="G73" s="22"/>
      <c r="H73" s="22"/>
      <c r="M73" s="23"/>
    </row>
    <row r="74" ht="10.5" customHeight="1">
      <c r="M74" s="23"/>
    </row>
    <row r="75" spans="11:13" ht="10.5" customHeight="1">
      <c r="K75" s="7"/>
      <c r="M75" s="23"/>
    </row>
    <row r="76" ht="10.5" customHeight="1">
      <c r="M76" s="23"/>
    </row>
    <row r="77" spans="11:13" ht="10.5" customHeight="1">
      <c r="K77" s="30"/>
      <c r="M77" s="23"/>
    </row>
  </sheetData>
  <sheetProtection/>
  <printOptions/>
  <pageMargins left="0.5118110236220472" right="0.11811023622047245" top="0.5511811023622047" bottom="0.15748031496062992" header="0.31496062992125984" footer="0.31496062992125984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">
      <selection activeCell="F9" sqref="F9"/>
    </sheetView>
  </sheetViews>
  <sheetFormatPr defaultColWidth="10.421875" defaultRowHeight="12" customHeight="1"/>
  <cols>
    <col min="1" max="1" width="7.8515625" style="4" customWidth="1"/>
    <col min="2" max="2" width="21.00390625" style="26" bestFit="1" customWidth="1"/>
    <col min="3" max="3" width="5.140625" style="26" bestFit="1" customWidth="1"/>
    <col min="4" max="4" width="15.421875" style="21" customWidth="1"/>
    <col min="5" max="5" width="7.57421875" style="21" bestFit="1" customWidth="1"/>
    <col min="6" max="6" width="7.421875" style="27" bestFit="1" customWidth="1"/>
    <col min="7" max="7" width="7.57421875" style="15" customWidth="1"/>
    <col min="8" max="8" width="7.140625" style="15" customWidth="1"/>
    <col min="9" max="9" width="7.7109375" style="28" bestFit="1" customWidth="1"/>
    <col min="10" max="10" width="3.00390625" style="29" customWidth="1"/>
    <col min="11" max="11" width="5.7109375" style="28" customWidth="1"/>
    <col min="12" max="12" width="6.57421875" style="22" hidden="1" customWidth="1"/>
    <col min="13" max="13" width="10.7109375" style="21" hidden="1" customWidth="1"/>
    <col min="14" max="14" width="10.00390625" style="24" bestFit="1" customWidth="1"/>
    <col min="15" max="15" width="8.00390625" style="24" customWidth="1"/>
    <col min="16" max="16" width="8.57421875" style="24" customWidth="1"/>
    <col min="17" max="16384" width="10.421875" style="21" customWidth="1"/>
  </cols>
  <sheetData>
    <row r="1" spans="1:15" s="4" customFormat="1" ht="12" customHeight="1">
      <c r="A1" s="1" t="s">
        <v>34</v>
      </c>
      <c r="B1" s="2"/>
      <c r="C1" s="2"/>
      <c r="D1" s="3"/>
      <c r="F1" s="5"/>
      <c r="I1" s="6"/>
      <c r="J1" s="7"/>
      <c r="K1" s="8"/>
      <c r="M1" s="9" t="s">
        <v>0</v>
      </c>
      <c r="O1" s="10"/>
    </row>
    <row r="2" spans="1:15" s="4" customFormat="1" ht="12" customHeight="1">
      <c r="A2" s="1"/>
      <c r="B2" s="2"/>
      <c r="C2" s="2"/>
      <c r="D2" s="3"/>
      <c r="F2" s="5"/>
      <c r="I2" s="6"/>
      <c r="J2" s="7"/>
      <c r="K2" s="8"/>
      <c r="M2" s="9"/>
      <c r="O2" s="10"/>
    </row>
    <row r="3" spans="1:17" s="4" customFormat="1" ht="56.25">
      <c r="A3" s="11" t="s">
        <v>22</v>
      </c>
      <c r="B3" s="3" t="s">
        <v>3</v>
      </c>
      <c r="C3" s="3" t="s">
        <v>2</v>
      </c>
      <c r="D3" s="10" t="s">
        <v>4</v>
      </c>
      <c r="E3" s="10" t="s">
        <v>5</v>
      </c>
      <c r="F3" s="12" t="s">
        <v>6</v>
      </c>
      <c r="G3" s="13" t="s">
        <v>7</v>
      </c>
      <c r="H3" s="13" t="s">
        <v>8</v>
      </c>
      <c r="I3" s="14" t="s">
        <v>32</v>
      </c>
      <c r="J3" s="15"/>
      <c r="K3" s="13" t="s">
        <v>20</v>
      </c>
      <c r="L3" s="13"/>
      <c r="M3" s="9"/>
      <c r="N3" s="16" t="s">
        <v>9</v>
      </c>
      <c r="O3" s="17" t="s">
        <v>10</v>
      </c>
      <c r="P3" s="16" t="s">
        <v>11</v>
      </c>
      <c r="Q3" s="18"/>
    </row>
    <row r="4" spans="1:16" s="4" customFormat="1" ht="11.25">
      <c r="A4" s="19"/>
      <c r="B4" s="3"/>
      <c r="C4" s="3"/>
      <c r="D4" s="10"/>
      <c r="E4" s="10"/>
      <c r="F4" s="12"/>
      <c r="G4" s="13"/>
      <c r="H4" s="13"/>
      <c r="I4" s="14"/>
      <c r="J4" s="15"/>
      <c r="K4" s="14"/>
      <c r="L4" s="13"/>
      <c r="M4" s="9"/>
      <c r="N4" s="16"/>
      <c r="O4" s="17"/>
      <c r="P4" s="16"/>
    </row>
    <row r="5" spans="1:17" ht="10.5" customHeight="1">
      <c r="A5" s="4" t="s">
        <v>12</v>
      </c>
      <c r="B5" s="20" t="s">
        <v>26</v>
      </c>
      <c r="C5" s="20" t="s">
        <v>29</v>
      </c>
      <c r="D5" s="21" t="s">
        <v>1</v>
      </c>
      <c r="F5" s="15">
        <f>(466721*1.011)+10000+5733</f>
        <v>487587.9309999999</v>
      </c>
      <c r="G5" s="22">
        <f aca="true" t="shared" si="0" ref="G5:G13">F5-(F5/1.12)</f>
        <v>52241.56403571431</v>
      </c>
      <c r="H5" s="22">
        <f aca="true" t="shared" si="1" ref="H5:H12">K5*132</f>
        <v>0</v>
      </c>
      <c r="I5" s="7">
        <f>F5/12</f>
        <v>40632.327583333325</v>
      </c>
      <c r="J5" s="7"/>
      <c r="K5" s="7">
        <v>0</v>
      </c>
      <c r="L5" s="22">
        <f>K5*146</f>
        <v>0</v>
      </c>
      <c r="M5" s="23">
        <f aca="true" t="shared" si="2" ref="M5:M12">(F5-L5)/12</f>
        <v>40632.327583333325</v>
      </c>
      <c r="N5" s="24">
        <f>F5/1752</f>
        <v>278.3036135844748</v>
      </c>
      <c r="O5" s="24">
        <f>N5*1.65</f>
        <v>459.2009624143834</v>
      </c>
      <c r="P5" s="24">
        <f>I5/162.5</f>
        <v>250.04509282051276</v>
      </c>
      <c r="Q5" s="25"/>
    </row>
    <row r="6" spans="1:17" ht="10.5" customHeight="1">
      <c r="A6" s="4" t="s">
        <v>13</v>
      </c>
      <c r="F6" s="15">
        <f>(478568*1.011)+10000+5733</f>
        <v>499565.24799999996</v>
      </c>
      <c r="G6" s="22">
        <f t="shared" si="0"/>
        <v>53524.848000000056</v>
      </c>
      <c r="H6" s="22">
        <f t="shared" si="1"/>
        <v>0</v>
      </c>
      <c r="I6" s="7">
        <f aca="true" t="shared" si="3" ref="I6:I13">F6/12</f>
        <v>41630.43733333333</v>
      </c>
      <c r="J6" s="7"/>
      <c r="K6" s="7">
        <v>0</v>
      </c>
      <c r="L6" s="22">
        <f>K6*146</f>
        <v>0</v>
      </c>
      <c r="M6" s="23">
        <f t="shared" si="2"/>
        <v>41630.43733333333</v>
      </c>
      <c r="N6" s="24">
        <f>F6/1752</f>
        <v>285.1399817351598</v>
      </c>
      <c r="O6" s="24">
        <f>N6*1.65</f>
        <v>470.4809698630136</v>
      </c>
      <c r="P6" s="24">
        <f>I6/162.5</f>
        <v>256.18730666666664</v>
      </c>
      <c r="Q6" s="25"/>
    </row>
    <row r="7" spans="1:17" ht="10.5" customHeight="1">
      <c r="A7" s="4" t="s">
        <v>14</v>
      </c>
      <c r="F7" s="15">
        <f>(490413*1.011)+10000+5733</f>
        <v>511540.54299999995</v>
      </c>
      <c r="G7" s="22">
        <f t="shared" si="0"/>
        <v>54807.91532142862</v>
      </c>
      <c r="H7" s="22">
        <f t="shared" si="1"/>
        <v>0</v>
      </c>
      <c r="I7" s="7">
        <f t="shared" si="3"/>
        <v>42628.37858333333</v>
      </c>
      <c r="J7" s="7"/>
      <c r="K7" s="7">
        <v>0</v>
      </c>
      <c r="L7" s="22">
        <f aca="true" t="shared" si="4" ref="L7:L13">K7*146</f>
        <v>0</v>
      </c>
      <c r="M7" s="23">
        <f t="shared" si="2"/>
        <v>42628.37858333333</v>
      </c>
      <c r="N7" s="24">
        <f aca="true" t="shared" si="5" ref="N7:N12">F7/1752</f>
        <v>291.9751957762557</v>
      </c>
      <c r="O7" s="24">
        <f aca="true" t="shared" si="6" ref="O7:O13">N7*1.65</f>
        <v>481.75907303082187</v>
      </c>
      <c r="P7" s="24">
        <f aca="true" t="shared" si="7" ref="P7:P12">I7/162.5</f>
        <v>262.3284835897436</v>
      </c>
      <c r="Q7" s="25"/>
    </row>
    <row r="8" spans="1:17" ht="10.5" customHeight="1">
      <c r="A8" s="4" t="s">
        <v>15</v>
      </c>
      <c r="F8" s="15">
        <f>(502261*1.011)+10000+5733</f>
        <v>523518.8709999999</v>
      </c>
      <c r="G8" s="22">
        <f t="shared" si="0"/>
        <v>56091.307607142895</v>
      </c>
      <c r="H8" s="22">
        <f t="shared" si="1"/>
        <v>0</v>
      </c>
      <c r="I8" s="7">
        <f t="shared" si="3"/>
        <v>43626.57258333333</v>
      </c>
      <c r="J8" s="7"/>
      <c r="K8" s="7">
        <v>0</v>
      </c>
      <c r="L8" s="22">
        <f t="shared" si="4"/>
        <v>0</v>
      </c>
      <c r="M8" s="23">
        <f t="shared" si="2"/>
        <v>43626.57258333333</v>
      </c>
      <c r="N8" s="24">
        <f t="shared" si="5"/>
        <v>298.8121409817351</v>
      </c>
      <c r="O8" s="24">
        <f t="shared" si="6"/>
        <v>493.0400326198629</v>
      </c>
      <c r="P8" s="24">
        <f t="shared" si="7"/>
        <v>268.47121589743585</v>
      </c>
      <c r="Q8" s="25"/>
    </row>
    <row r="9" spans="1:17" ht="10.5" customHeight="1">
      <c r="A9" s="4" t="s">
        <v>16</v>
      </c>
      <c r="F9" s="15">
        <f>(514107*1.011)+10000+5733</f>
        <v>535495.1769999999</v>
      </c>
      <c r="G9" s="22">
        <f t="shared" si="0"/>
        <v>57374.48325000005</v>
      </c>
      <c r="H9" s="22">
        <f t="shared" si="1"/>
        <v>0</v>
      </c>
      <c r="I9" s="7">
        <f t="shared" si="3"/>
        <v>44624.59808333332</v>
      </c>
      <c r="J9" s="7"/>
      <c r="K9" s="7">
        <v>0</v>
      </c>
      <c r="L9" s="22">
        <f t="shared" si="4"/>
        <v>0</v>
      </c>
      <c r="M9" s="23">
        <f t="shared" si="2"/>
        <v>44624.59808333332</v>
      </c>
      <c r="N9" s="24">
        <f t="shared" si="5"/>
        <v>305.6479320776255</v>
      </c>
      <c r="O9" s="24">
        <f t="shared" si="6"/>
        <v>504.31908792808207</v>
      </c>
      <c r="P9" s="24">
        <f t="shared" si="7"/>
        <v>274.61291128205124</v>
      </c>
      <c r="Q9" s="25"/>
    </row>
    <row r="10" spans="1:17" ht="10.5" customHeight="1">
      <c r="A10" s="4" t="s">
        <v>17</v>
      </c>
      <c r="B10" s="20" t="s">
        <v>35</v>
      </c>
      <c r="C10" s="20" t="s">
        <v>28</v>
      </c>
      <c r="D10" s="21" t="s">
        <v>31</v>
      </c>
      <c r="F10" s="15">
        <f>531739+10000+5733</f>
        <v>547472</v>
      </c>
      <c r="G10" s="22">
        <f t="shared" si="0"/>
        <v>58657.71428571432</v>
      </c>
      <c r="H10" s="22">
        <f t="shared" si="1"/>
        <v>0</v>
      </c>
      <c r="I10" s="7">
        <f t="shared" si="3"/>
        <v>45622.666666666664</v>
      </c>
      <c r="J10" s="7"/>
      <c r="K10" s="7">
        <v>0</v>
      </c>
      <c r="L10" s="22">
        <f t="shared" si="4"/>
        <v>0</v>
      </c>
      <c r="M10" s="23">
        <f t="shared" si="2"/>
        <v>45622.666666666664</v>
      </c>
      <c r="N10" s="24">
        <f t="shared" si="5"/>
        <v>312.4840182648402</v>
      </c>
      <c r="O10" s="24">
        <f t="shared" si="6"/>
        <v>515.5986301369862</v>
      </c>
      <c r="P10" s="24">
        <f t="shared" si="7"/>
        <v>280.7548717948718</v>
      </c>
      <c r="Q10" s="25"/>
    </row>
    <row r="11" spans="1:17" ht="10.5" customHeight="1">
      <c r="A11" s="4" t="s">
        <v>18</v>
      </c>
      <c r="F11" s="15">
        <f>543716+10000+5733</f>
        <v>559449</v>
      </c>
      <c r="G11" s="22">
        <f t="shared" si="0"/>
        <v>59940.96428571432</v>
      </c>
      <c r="H11" s="22">
        <f t="shared" si="1"/>
        <v>0</v>
      </c>
      <c r="I11" s="7">
        <f t="shared" si="3"/>
        <v>46620.75</v>
      </c>
      <c r="J11" s="7"/>
      <c r="K11" s="7">
        <v>0</v>
      </c>
      <c r="L11" s="22">
        <f t="shared" si="4"/>
        <v>0</v>
      </c>
      <c r="M11" s="23">
        <f t="shared" si="2"/>
        <v>46620.75</v>
      </c>
      <c r="N11" s="24">
        <f t="shared" si="5"/>
        <v>319.32020547945206</v>
      </c>
      <c r="O11" s="24">
        <f t="shared" si="6"/>
        <v>526.8783390410958</v>
      </c>
      <c r="P11" s="24">
        <f t="shared" si="7"/>
        <v>286.8969230769231</v>
      </c>
      <c r="Q11" s="25"/>
    </row>
    <row r="12" spans="1:17" ht="10.5" customHeight="1">
      <c r="A12" s="4" t="s">
        <v>19</v>
      </c>
      <c r="F12" s="15">
        <f>(553330*1.011)+10000+5733</f>
        <v>575149.6299999999</v>
      </c>
      <c r="G12" s="22">
        <f t="shared" si="0"/>
        <v>61623.174642857164</v>
      </c>
      <c r="H12" s="22">
        <f t="shared" si="1"/>
        <v>0</v>
      </c>
      <c r="I12" s="7">
        <f t="shared" si="3"/>
        <v>47929.13583333333</v>
      </c>
      <c r="J12" s="7"/>
      <c r="K12" s="7">
        <v>0</v>
      </c>
      <c r="L12" s="22">
        <f t="shared" si="4"/>
        <v>0</v>
      </c>
      <c r="M12" s="23">
        <f t="shared" si="2"/>
        <v>47929.13583333333</v>
      </c>
      <c r="N12" s="24">
        <f t="shared" si="5"/>
        <v>328.28175228310494</v>
      </c>
      <c r="O12" s="24">
        <f t="shared" si="6"/>
        <v>541.6648912671232</v>
      </c>
      <c r="P12" s="24">
        <f t="shared" si="7"/>
        <v>294.9485282051282</v>
      </c>
      <c r="Q12" s="25"/>
    </row>
    <row r="13" spans="1:17" ht="10.5" customHeight="1">
      <c r="A13" s="4" t="s">
        <v>23</v>
      </c>
      <c r="F13" s="15">
        <f>(568330*1.011)+10000+5733</f>
        <v>590314.6299999999</v>
      </c>
      <c r="G13" s="22">
        <f t="shared" si="0"/>
        <v>63247.99607142864</v>
      </c>
      <c r="H13" s="22">
        <f>K13*132</f>
        <v>0</v>
      </c>
      <c r="I13" s="7">
        <f t="shared" si="3"/>
        <v>49192.88583333333</v>
      </c>
      <c r="J13" s="7"/>
      <c r="K13" s="7">
        <v>0</v>
      </c>
      <c r="L13" s="22">
        <f t="shared" si="4"/>
        <v>0</v>
      </c>
      <c r="M13" s="23">
        <f>(F13-L13)/12</f>
        <v>49192.88583333333</v>
      </c>
      <c r="N13" s="24">
        <f>F13/1752</f>
        <v>336.93757420091316</v>
      </c>
      <c r="O13" s="24">
        <f t="shared" si="6"/>
        <v>555.9469974315067</v>
      </c>
      <c r="P13" s="24">
        <f>I13/162.5</f>
        <v>302.72545128205127</v>
      </c>
      <c r="Q13" s="25"/>
    </row>
    <row r="14" spans="6:13" ht="10.5" customHeight="1">
      <c r="F14" s="15"/>
      <c r="G14" s="22"/>
      <c r="H14" s="22"/>
      <c r="I14" s="7"/>
      <c r="J14" s="7"/>
      <c r="K14" s="7"/>
      <c r="M14" s="23"/>
    </row>
    <row r="15" spans="11:13" ht="10.5" customHeight="1">
      <c r="K15" s="7">
        <v>0</v>
      </c>
      <c r="M15" s="23"/>
    </row>
    <row r="16" ht="10.5" customHeight="1">
      <c r="M16" s="23"/>
    </row>
    <row r="17" ht="10.5" customHeight="1">
      <c r="M17" s="23"/>
    </row>
    <row r="18" ht="10.5" customHeight="1">
      <c r="M18" s="23"/>
    </row>
    <row r="19" ht="10.5" customHeight="1">
      <c r="M19" s="23"/>
    </row>
    <row r="20" ht="10.5" customHeight="1">
      <c r="M20" s="23"/>
    </row>
    <row r="21" ht="10.5" customHeight="1">
      <c r="M21" s="23"/>
    </row>
    <row r="22" ht="10.5" customHeight="1">
      <c r="M22" s="23"/>
    </row>
    <row r="23" ht="10.5" customHeight="1">
      <c r="M23" s="23"/>
    </row>
    <row r="24" ht="10.5" customHeight="1">
      <c r="M24" s="23"/>
    </row>
    <row r="25" ht="10.5" customHeight="1">
      <c r="M25" s="23"/>
    </row>
    <row r="26" spans="11:13" ht="10.5" customHeight="1">
      <c r="K26" s="30"/>
      <c r="M26" s="23"/>
    </row>
    <row r="28" spans="1:15" s="4" customFormat="1" ht="12" customHeight="1">
      <c r="A28" s="1"/>
      <c r="B28" s="2"/>
      <c r="C28" s="2"/>
      <c r="D28" s="3"/>
      <c r="F28" s="5"/>
      <c r="I28" s="6"/>
      <c r="J28" s="7"/>
      <c r="K28" s="8"/>
      <c r="M28" s="9"/>
      <c r="O28" s="10"/>
    </row>
    <row r="29" spans="1:15" s="4" customFormat="1" ht="12" customHeight="1">
      <c r="A29" s="1"/>
      <c r="B29" s="2"/>
      <c r="C29" s="2"/>
      <c r="D29" s="3"/>
      <c r="F29" s="5"/>
      <c r="I29" s="6"/>
      <c r="J29" s="7"/>
      <c r="K29" s="8"/>
      <c r="M29" s="9"/>
      <c r="O29" s="10"/>
    </row>
    <row r="30" spans="1:13" ht="10.5" customHeight="1">
      <c r="A30" s="9"/>
      <c r="D30" s="26"/>
      <c r="F30" s="15"/>
      <c r="G30" s="22"/>
      <c r="H30" s="22"/>
      <c r="I30" s="7"/>
      <c r="J30" s="7"/>
      <c r="K30" s="7"/>
      <c r="M30" s="23"/>
    </row>
    <row r="31" spans="1:13" ht="10.5" customHeight="1">
      <c r="A31" s="9"/>
      <c r="D31" s="26"/>
      <c r="F31" s="15"/>
      <c r="G31" s="22"/>
      <c r="H31" s="22"/>
      <c r="I31" s="7"/>
      <c r="J31" s="7"/>
      <c r="K31" s="7"/>
      <c r="M31" s="23"/>
    </row>
    <row r="32" spans="1:13" ht="10.5" customHeight="1">
      <c r="A32" s="9"/>
      <c r="F32" s="15"/>
      <c r="G32" s="22"/>
      <c r="H32" s="22"/>
      <c r="I32" s="7"/>
      <c r="J32" s="7"/>
      <c r="K32" s="7"/>
      <c r="M32" s="23"/>
    </row>
    <row r="33" spans="1:13" ht="10.5" customHeight="1">
      <c r="A33" s="9"/>
      <c r="F33" s="15"/>
      <c r="G33" s="22"/>
      <c r="H33" s="22"/>
      <c r="I33" s="7"/>
      <c r="J33" s="7"/>
      <c r="K33" s="7"/>
      <c r="M33" s="23"/>
    </row>
    <row r="34" spans="1:13" ht="10.5" customHeight="1">
      <c r="A34" s="9"/>
      <c r="F34" s="15"/>
      <c r="G34" s="22"/>
      <c r="H34" s="22"/>
      <c r="I34" s="7"/>
      <c r="J34" s="7"/>
      <c r="K34" s="7"/>
      <c r="M34" s="23"/>
    </row>
    <row r="35" spans="1:13" ht="10.5" customHeight="1">
      <c r="A35" s="9"/>
      <c r="F35" s="15"/>
      <c r="G35" s="22"/>
      <c r="H35" s="22"/>
      <c r="I35" s="7"/>
      <c r="J35" s="7"/>
      <c r="K35" s="7"/>
      <c r="M35" s="23"/>
    </row>
    <row r="36" spans="1:13" ht="10.5" customHeight="1">
      <c r="A36" s="9"/>
      <c r="F36" s="15"/>
      <c r="G36" s="22"/>
      <c r="H36" s="22"/>
      <c r="I36" s="7"/>
      <c r="J36" s="7"/>
      <c r="K36" s="7"/>
      <c r="M36" s="23"/>
    </row>
    <row r="37" spans="1:13" ht="10.5" customHeight="1">
      <c r="A37" s="9"/>
      <c r="F37" s="15"/>
      <c r="G37" s="22"/>
      <c r="H37" s="22"/>
      <c r="I37" s="7"/>
      <c r="J37" s="7"/>
      <c r="K37" s="7"/>
      <c r="M37" s="23"/>
    </row>
    <row r="38" spans="1:13" ht="10.5" customHeight="1">
      <c r="A38" s="9"/>
      <c r="F38" s="15"/>
      <c r="G38" s="22"/>
      <c r="H38" s="22"/>
      <c r="I38" s="7"/>
      <c r="J38" s="7"/>
      <c r="K38" s="7"/>
      <c r="M38" s="23"/>
    </row>
    <row r="39" spans="1:13" ht="10.5" customHeight="1">
      <c r="A39" s="9"/>
      <c r="F39" s="15"/>
      <c r="G39" s="22"/>
      <c r="H39" s="22"/>
      <c r="I39" s="7"/>
      <c r="J39" s="7"/>
      <c r="K39" s="7"/>
      <c r="M39" s="23"/>
    </row>
    <row r="40" spans="1:13" ht="10.5" customHeight="1">
      <c r="A40" s="9"/>
      <c r="F40" s="15"/>
      <c r="G40" s="22"/>
      <c r="H40" s="22"/>
      <c r="I40" s="7"/>
      <c r="J40" s="7"/>
      <c r="K40" s="7"/>
      <c r="M40" s="23"/>
    </row>
    <row r="41" spans="1:15" ht="10.5" customHeight="1">
      <c r="A41" s="9"/>
      <c r="F41" s="4"/>
      <c r="G41" s="22"/>
      <c r="H41" s="22"/>
      <c r="I41" s="7"/>
      <c r="J41" s="31"/>
      <c r="K41" s="31"/>
      <c r="L41" s="32"/>
      <c r="M41" s="33"/>
      <c r="N41" s="34"/>
      <c r="O41" s="35"/>
    </row>
    <row r="42" spans="1:13" ht="10.5" customHeight="1">
      <c r="A42" s="36"/>
      <c r="F42" s="15"/>
      <c r="G42" s="22"/>
      <c r="H42" s="22"/>
      <c r="I42" s="7"/>
      <c r="J42" s="7"/>
      <c r="K42" s="7"/>
      <c r="M42" s="23"/>
    </row>
    <row r="43" spans="1:13" ht="10.5" customHeight="1">
      <c r="A43" s="36"/>
      <c r="F43" s="15"/>
      <c r="G43" s="22"/>
      <c r="H43" s="22"/>
      <c r="I43" s="7"/>
      <c r="J43" s="7"/>
      <c r="K43" s="7"/>
      <c r="M43" s="23"/>
    </row>
    <row r="44" spans="1:13" ht="10.5" customHeight="1">
      <c r="A44" s="36"/>
      <c r="F44" s="15"/>
      <c r="G44" s="22"/>
      <c r="H44" s="22"/>
      <c r="I44" s="7"/>
      <c r="J44" s="7"/>
      <c r="K44" s="7"/>
      <c r="M44" s="23"/>
    </row>
    <row r="45" spans="1:13" ht="10.5" customHeight="1">
      <c r="A45" s="36"/>
      <c r="F45" s="15"/>
      <c r="G45" s="22"/>
      <c r="H45" s="22"/>
      <c r="I45" s="7"/>
      <c r="J45" s="7"/>
      <c r="K45" s="7"/>
      <c r="M45" s="23"/>
    </row>
    <row r="46" spans="6:13" ht="10.5" customHeight="1">
      <c r="F46" s="15"/>
      <c r="G46" s="22"/>
      <c r="H46" s="22"/>
      <c r="I46" s="7"/>
      <c r="J46" s="7"/>
      <c r="K46" s="7"/>
      <c r="M46" s="23"/>
    </row>
    <row r="47" spans="6:13" ht="10.5" customHeight="1">
      <c r="F47" s="15"/>
      <c r="G47" s="22"/>
      <c r="H47" s="22"/>
      <c r="I47" s="7"/>
      <c r="J47" s="7"/>
      <c r="K47" s="7"/>
      <c r="M47" s="23"/>
    </row>
    <row r="48" spans="6:13" ht="10.5" customHeight="1">
      <c r="F48" s="15"/>
      <c r="G48" s="22"/>
      <c r="H48" s="22"/>
      <c r="I48" s="7"/>
      <c r="J48" s="7"/>
      <c r="K48" s="7"/>
      <c r="M48" s="23"/>
    </row>
    <row r="49" spans="6:13" ht="10.5" customHeight="1">
      <c r="F49" s="15"/>
      <c r="G49" s="22"/>
      <c r="H49" s="22"/>
      <c r="I49" s="7"/>
      <c r="J49" s="7"/>
      <c r="K49" s="7"/>
      <c r="M49" s="23"/>
    </row>
    <row r="50" spans="6:13" ht="10.5" customHeight="1">
      <c r="F50" s="15"/>
      <c r="G50" s="22"/>
      <c r="H50" s="22"/>
      <c r="I50" s="7"/>
      <c r="J50" s="7"/>
      <c r="K50" s="7"/>
      <c r="M50" s="23"/>
    </row>
    <row r="51" spans="6:13" ht="10.5" customHeight="1">
      <c r="F51" s="15"/>
      <c r="G51" s="22"/>
      <c r="H51" s="22"/>
      <c r="I51" s="7"/>
      <c r="J51" s="7"/>
      <c r="K51" s="7"/>
      <c r="M51" s="23"/>
    </row>
    <row r="52" spans="6:13" ht="10.5" customHeight="1">
      <c r="F52" s="15"/>
      <c r="G52" s="22"/>
      <c r="H52" s="22"/>
      <c r="I52" s="7"/>
      <c r="J52" s="7"/>
      <c r="K52" s="7"/>
      <c r="M52" s="23"/>
    </row>
    <row r="53" spans="6:13" ht="10.5" customHeight="1">
      <c r="F53" s="15"/>
      <c r="G53" s="22"/>
      <c r="H53" s="22"/>
      <c r="I53" s="7"/>
      <c r="J53" s="7"/>
      <c r="K53" s="7"/>
      <c r="M53" s="23"/>
    </row>
    <row r="54" spans="2:13" ht="10.5" customHeight="1">
      <c r="B54" s="20"/>
      <c r="C54" s="20"/>
      <c r="F54" s="15"/>
      <c r="G54" s="22"/>
      <c r="H54" s="22"/>
      <c r="I54" s="7"/>
      <c r="K54" s="7"/>
      <c r="M54" s="23"/>
    </row>
    <row r="55" spans="2:13" ht="10.5" customHeight="1">
      <c r="B55" s="20"/>
      <c r="C55" s="20"/>
      <c r="F55" s="15"/>
      <c r="G55" s="22"/>
      <c r="H55" s="22"/>
      <c r="I55" s="7"/>
      <c r="K55" s="7"/>
      <c r="M55" s="23"/>
    </row>
    <row r="56" spans="2:13" ht="10.5" customHeight="1">
      <c r="B56" s="20"/>
      <c r="C56" s="20"/>
      <c r="F56" s="15"/>
      <c r="G56" s="22"/>
      <c r="H56" s="22"/>
      <c r="I56" s="7"/>
      <c r="K56" s="7"/>
      <c r="M56" s="23"/>
    </row>
    <row r="57" spans="6:13" ht="10.5" customHeight="1">
      <c r="F57" s="15"/>
      <c r="G57" s="22"/>
      <c r="H57" s="22"/>
      <c r="I57" s="7"/>
      <c r="K57" s="7"/>
      <c r="M57" s="23"/>
    </row>
    <row r="58" spans="6:13" ht="10.5" customHeight="1">
      <c r="F58" s="15"/>
      <c r="G58" s="22"/>
      <c r="H58" s="22"/>
      <c r="I58" s="7"/>
      <c r="K58" s="7"/>
      <c r="M58" s="23"/>
    </row>
    <row r="59" spans="6:13" ht="10.5" customHeight="1">
      <c r="F59" s="15"/>
      <c r="G59" s="22"/>
      <c r="H59" s="22"/>
      <c r="I59" s="7"/>
      <c r="K59" s="7"/>
      <c r="M59" s="23"/>
    </row>
    <row r="60" spans="6:13" ht="10.5" customHeight="1">
      <c r="F60" s="15"/>
      <c r="G60" s="22"/>
      <c r="H60" s="22"/>
      <c r="I60" s="7"/>
      <c r="K60" s="7"/>
      <c r="M60" s="23"/>
    </row>
    <row r="61" spans="6:13" ht="10.5" customHeight="1">
      <c r="F61" s="15"/>
      <c r="G61" s="22"/>
      <c r="H61" s="22"/>
      <c r="I61" s="7"/>
      <c r="K61" s="7"/>
      <c r="M61" s="23"/>
    </row>
    <row r="62" spans="6:13" ht="10.5" customHeight="1">
      <c r="F62" s="15"/>
      <c r="G62" s="22"/>
      <c r="H62" s="22"/>
      <c r="I62" s="7"/>
      <c r="K62" s="7"/>
      <c r="M62" s="23"/>
    </row>
    <row r="63" spans="6:13" ht="10.5" customHeight="1">
      <c r="F63" s="15"/>
      <c r="G63" s="22"/>
      <c r="H63" s="22"/>
      <c r="I63" s="7"/>
      <c r="K63" s="7"/>
      <c r="M63" s="23"/>
    </row>
    <row r="64" spans="6:13" ht="10.5" customHeight="1">
      <c r="F64" s="15"/>
      <c r="G64" s="22"/>
      <c r="H64" s="22"/>
      <c r="I64" s="7"/>
      <c r="K64" s="7"/>
      <c r="M64" s="23"/>
    </row>
    <row r="65" spans="7:13" ht="10.5" customHeight="1">
      <c r="G65" s="22"/>
      <c r="H65" s="22"/>
      <c r="M65" s="23"/>
    </row>
    <row r="66" ht="10.5" customHeight="1">
      <c r="M66" s="23"/>
    </row>
    <row r="67" spans="11:13" ht="10.5" customHeight="1">
      <c r="K67" s="7"/>
      <c r="M67" s="23"/>
    </row>
    <row r="68" ht="10.5" customHeight="1">
      <c r="M68" s="23"/>
    </row>
    <row r="69" spans="11:13" ht="10.5" customHeight="1">
      <c r="K69" s="30"/>
      <c r="M69" s="2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77"/>
  <sheetViews>
    <sheetView zoomScalePageLayoutView="0" workbookViewId="0" topLeftCell="A1">
      <selection activeCell="F5" sqref="F5"/>
    </sheetView>
  </sheetViews>
  <sheetFormatPr defaultColWidth="10.421875" defaultRowHeight="12.75"/>
  <cols>
    <col min="1" max="1" width="7.421875" style="4" customWidth="1"/>
    <col min="2" max="2" width="17.421875" style="26" customWidth="1"/>
    <col min="3" max="3" width="6.57421875" style="26" customWidth="1"/>
    <col min="4" max="4" width="18.140625" style="21" customWidth="1"/>
    <col min="5" max="5" width="8.7109375" style="21" customWidth="1"/>
    <col min="6" max="6" width="7.421875" style="27" bestFit="1" customWidth="1"/>
    <col min="7" max="7" width="7.57421875" style="15" customWidth="1"/>
    <col min="8" max="8" width="7.140625" style="15" customWidth="1"/>
    <col min="9" max="9" width="7.7109375" style="28" bestFit="1" customWidth="1"/>
    <col min="10" max="10" width="2.28125" style="29" customWidth="1"/>
    <col min="11" max="11" width="5.421875" style="28" customWidth="1"/>
    <col min="12" max="12" width="6.57421875" style="22" hidden="1" customWidth="1"/>
    <col min="13" max="13" width="10.7109375" style="21" hidden="1" customWidth="1"/>
    <col min="14" max="14" width="10.00390625" style="24" bestFit="1" customWidth="1"/>
    <col min="15" max="15" width="8.00390625" style="24" customWidth="1"/>
    <col min="16" max="16" width="8.57421875" style="24" customWidth="1"/>
    <col min="17" max="16384" width="10.421875" style="21" customWidth="1"/>
  </cols>
  <sheetData>
    <row r="1" spans="1:15" s="4" customFormat="1" ht="12" customHeight="1">
      <c r="A1" s="1" t="s">
        <v>95</v>
      </c>
      <c r="B1" s="2"/>
      <c r="C1" s="2"/>
      <c r="D1" s="3"/>
      <c r="F1" s="5"/>
      <c r="I1" s="6"/>
      <c r="J1" s="7"/>
      <c r="K1" s="8"/>
      <c r="M1" s="9" t="s">
        <v>0</v>
      </c>
      <c r="O1" s="10"/>
    </row>
    <row r="2" spans="1:15" s="4" customFormat="1" ht="12" customHeight="1">
      <c r="A2" s="1"/>
      <c r="B2" s="2"/>
      <c r="C2" s="2"/>
      <c r="D2" s="3"/>
      <c r="F2" s="5"/>
      <c r="I2" s="6"/>
      <c r="J2" s="7"/>
      <c r="K2" s="8"/>
      <c r="M2" s="9"/>
      <c r="O2" s="10"/>
    </row>
    <row r="3" spans="1:17" s="4" customFormat="1" ht="56.25">
      <c r="A3" s="11" t="s">
        <v>22</v>
      </c>
      <c r="B3" s="3" t="s">
        <v>3</v>
      </c>
      <c r="C3" s="3" t="s">
        <v>2</v>
      </c>
      <c r="D3" s="10" t="s">
        <v>4</v>
      </c>
      <c r="E3" s="10" t="s">
        <v>5</v>
      </c>
      <c r="F3" s="12" t="s">
        <v>6</v>
      </c>
      <c r="G3" s="13" t="s">
        <v>7</v>
      </c>
      <c r="H3" s="13" t="s">
        <v>8</v>
      </c>
      <c r="I3" s="14" t="s">
        <v>32</v>
      </c>
      <c r="J3" s="15"/>
      <c r="K3" s="13" t="s">
        <v>20</v>
      </c>
      <c r="L3" s="13"/>
      <c r="M3" s="9"/>
      <c r="N3" s="16" t="s">
        <v>9</v>
      </c>
      <c r="O3" s="17" t="s">
        <v>10</v>
      </c>
      <c r="P3" s="16" t="s">
        <v>11</v>
      </c>
      <c r="Q3" s="18"/>
    </row>
    <row r="4" spans="1:17" s="4" customFormat="1" ht="12.75">
      <c r="A4" s="11"/>
      <c r="B4" s="3"/>
      <c r="C4" s="3"/>
      <c r="D4" s="10"/>
      <c r="E4" s="10"/>
      <c r="F4" s="12"/>
      <c r="G4" s="13"/>
      <c r="H4" s="13"/>
      <c r="I4" s="14"/>
      <c r="J4" s="15"/>
      <c r="K4" s="13"/>
      <c r="L4" s="13"/>
      <c r="M4" s="9"/>
      <c r="N4" s="16"/>
      <c r="O4" s="17"/>
      <c r="P4" s="16"/>
      <c r="Q4" s="18"/>
    </row>
    <row r="5" spans="1:18" s="38" customFormat="1" ht="10.5" customHeight="1">
      <c r="A5" s="4" t="s">
        <v>54</v>
      </c>
      <c r="B5" s="37" t="s">
        <v>26</v>
      </c>
      <c r="C5" s="37" t="s">
        <v>82</v>
      </c>
      <c r="D5" s="37" t="s">
        <v>1</v>
      </c>
      <c r="E5" s="21" t="s">
        <v>91</v>
      </c>
      <c r="F5" s="15">
        <f>556816+10000+5340+12000+12000+5160+3100+9100+7166+4500+19700+1400</f>
        <v>646282</v>
      </c>
      <c r="G5" s="22">
        <f>F5-(F5/1.12)</f>
        <v>69244.5</v>
      </c>
      <c r="H5" s="22">
        <f aca="true" t="shared" si="0" ref="H5:H15">J5*132</f>
        <v>0</v>
      </c>
      <c r="I5" s="7">
        <f aca="true" t="shared" si="1" ref="I5:I12">F5/12</f>
        <v>53856.833333333336</v>
      </c>
      <c r="J5" s="29">
        <v>0</v>
      </c>
      <c r="K5" s="29">
        <v>0</v>
      </c>
      <c r="L5" s="22">
        <f aca="true" t="shared" si="2" ref="L5:L13">J5*146</f>
        <v>0</v>
      </c>
      <c r="M5" s="23">
        <f aca="true" t="shared" si="3" ref="M5:M15">(F5-L5)/12</f>
        <v>53856.833333333336</v>
      </c>
      <c r="N5" s="24">
        <f aca="true" t="shared" si="4" ref="N5:N15">F5/1752</f>
        <v>368.8824200913242</v>
      </c>
      <c r="O5" s="24">
        <f aca="true" t="shared" si="5" ref="O5:O13">N5*1.65</f>
        <v>608.6559931506849</v>
      </c>
      <c r="P5" s="24">
        <f aca="true" t="shared" si="6" ref="P5:P27">(F5-(856*146))/1950</f>
        <v>267.33641025641026</v>
      </c>
      <c r="Q5" s="21"/>
      <c r="R5" s="21"/>
    </row>
    <row r="6" spans="1:18" s="38" customFormat="1" ht="10.5" customHeight="1">
      <c r="A6" s="4" t="s">
        <v>55</v>
      </c>
      <c r="B6" s="3" t="s">
        <v>79</v>
      </c>
      <c r="C6" s="4" t="s">
        <v>78</v>
      </c>
      <c r="D6" s="3" t="s">
        <v>77</v>
      </c>
      <c r="E6" s="21"/>
      <c r="F6" s="15">
        <f>568864+10000+5340+12000+12000+5160+3100+9100+7166+4500+19700+1400</f>
        <v>658330</v>
      </c>
      <c r="G6" s="22">
        <f>F6-(F6/1.12)</f>
        <v>70535.35714285716</v>
      </c>
      <c r="H6" s="22">
        <f t="shared" si="0"/>
        <v>0</v>
      </c>
      <c r="I6" s="7">
        <f t="shared" si="1"/>
        <v>54860.833333333336</v>
      </c>
      <c r="J6" s="29">
        <v>0</v>
      </c>
      <c r="K6" s="29">
        <v>0</v>
      </c>
      <c r="L6" s="22">
        <f t="shared" si="2"/>
        <v>0</v>
      </c>
      <c r="M6" s="23">
        <f t="shared" si="3"/>
        <v>54860.833333333336</v>
      </c>
      <c r="N6" s="24">
        <f t="shared" si="4"/>
        <v>375.7591324200913</v>
      </c>
      <c r="O6" s="24">
        <f t="shared" si="5"/>
        <v>620.0025684931506</v>
      </c>
      <c r="P6" s="24">
        <f t="shared" si="6"/>
        <v>273.5148717948718</v>
      </c>
      <c r="Q6" s="21"/>
      <c r="R6" s="21"/>
    </row>
    <row r="7" spans="1:18" s="38" customFormat="1" ht="10.5" customHeight="1">
      <c r="A7" s="4" t="s">
        <v>56</v>
      </c>
      <c r="B7" s="26"/>
      <c r="C7" s="21"/>
      <c r="F7" s="15">
        <f>584808+10000+5340+12000+12000+5160+3100+9100+7166+4500+19700+1400</f>
        <v>674274</v>
      </c>
      <c r="G7" s="22">
        <f>F7-(F7/1.12)</f>
        <v>72243.64285714296</v>
      </c>
      <c r="H7" s="22">
        <f t="shared" si="0"/>
        <v>0</v>
      </c>
      <c r="I7" s="7">
        <f t="shared" si="1"/>
        <v>56189.5</v>
      </c>
      <c r="J7" s="29">
        <v>0</v>
      </c>
      <c r="K7" s="29">
        <v>0</v>
      </c>
      <c r="L7" s="22">
        <f t="shared" si="2"/>
        <v>0</v>
      </c>
      <c r="M7" s="23">
        <f t="shared" si="3"/>
        <v>56189.5</v>
      </c>
      <c r="N7" s="24">
        <f t="shared" si="4"/>
        <v>384.8595890410959</v>
      </c>
      <c r="O7" s="24">
        <f t="shared" si="5"/>
        <v>635.0183219178082</v>
      </c>
      <c r="P7" s="24">
        <f t="shared" si="6"/>
        <v>281.69128205128203</v>
      </c>
      <c r="Q7" s="21"/>
      <c r="R7" s="21"/>
    </row>
    <row r="8" spans="1:18" s="38" customFormat="1" ht="10.5" customHeight="1">
      <c r="A8" s="4" t="s">
        <v>57</v>
      </c>
      <c r="B8" s="26"/>
      <c r="C8" s="21"/>
      <c r="F8" s="15">
        <f>656978+19700+1400</f>
        <v>678078</v>
      </c>
      <c r="G8" s="22">
        <f aca="true" t="shared" si="7" ref="G8:G15">F8-(F8/1.12)</f>
        <v>72651.21428571432</v>
      </c>
      <c r="H8" s="22">
        <f t="shared" si="0"/>
        <v>0</v>
      </c>
      <c r="I8" s="7">
        <f>F8/12</f>
        <v>56506.5</v>
      </c>
      <c r="J8" s="29">
        <v>0</v>
      </c>
      <c r="K8" s="29">
        <v>0</v>
      </c>
      <c r="L8" s="22">
        <f>J8*146</f>
        <v>0</v>
      </c>
      <c r="M8" s="23">
        <f t="shared" si="3"/>
        <v>56506.5</v>
      </c>
      <c r="N8" s="24">
        <f t="shared" si="4"/>
        <v>387.0308219178082</v>
      </c>
      <c r="O8" s="24">
        <f>N8*1.65</f>
        <v>638.6008561643836</v>
      </c>
      <c r="P8" s="24">
        <f t="shared" si="6"/>
        <v>283.6420512820513</v>
      </c>
      <c r="Q8" s="21"/>
      <c r="R8" s="21"/>
    </row>
    <row r="9" spans="1:18" s="38" customFormat="1" ht="10.5" customHeight="1">
      <c r="A9" s="4" t="s">
        <v>58</v>
      </c>
      <c r="B9" s="26"/>
      <c r="C9" s="21"/>
      <c r="F9" s="15">
        <f>661978+19700+1400</f>
        <v>683078</v>
      </c>
      <c r="G9" s="22">
        <f t="shared" si="7"/>
        <v>73186.92857142864</v>
      </c>
      <c r="H9" s="22">
        <f t="shared" si="0"/>
        <v>0</v>
      </c>
      <c r="I9" s="7">
        <f>F9/12</f>
        <v>56923.166666666664</v>
      </c>
      <c r="J9" s="29">
        <v>0</v>
      </c>
      <c r="K9" s="29">
        <v>0</v>
      </c>
      <c r="L9" s="22">
        <f>J9*146</f>
        <v>0</v>
      </c>
      <c r="M9" s="23">
        <f t="shared" si="3"/>
        <v>56923.166666666664</v>
      </c>
      <c r="N9" s="24">
        <f t="shared" si="4"/>
        <v>389.884703196347</v>
      </c>
      <c r="O9" s="24">
        <f>N9*1.65</f>
        <v>643.3097602739725</v>
      </c>
      <c r="P9" s="24">
        <f t="shared" si="6"/>
        <v>286.2061538461538</v>
      </c>
      <c r="Q9" s="21"/>
      <c r="R9" s="21"/>
    </row>
    <row r="10" spans="1:18" s="38" customFormat="1" ht="10.5" customHeight="1">
      <c r="A10" s="4" t="s">
        <v>59</v>
      </c>
      <c r="B10" s="26"/>
      <c r="C10" s="21"/>
      <c r="F10" s="15">
        <f>666978+19700+1400</f>
        <v>688078</v>
      </c>
      <c r="G10" s="22">
        <f t="shared" si="7"/>
        <v>73722.64285714296</v>
      </c>
      <c r="H10" s="22">
        <f t="shared" si="0"/>
        <v>0</v>
      </c>
      <c r="I10" s="7">
        <f>F10/12</f>
        <v>57339.833333333336</v>
      </c>
      <c r="J10" s="29">
        <v>0</v>
      </c>
      <c r="K10" s="29">
        <v>0</v>
      </c>
      <c r="L10" s="22">
        <f>J10*146</f>
        <v>0</v>
      </c>
      <c r="M10" s="23">
        <f t="shared" si="3"/>
        <v>57339.833333333336</v>
      </c>
      <c r="N10" s="24">
        <f t="shared" si="4"/>
        <v>392.73858447488584</v>
      </c>
      <c r="O10" s="24">
        <f>N10*1.65</f>
        <v>648.0186643835616</v>
      </c>
      <c r="P10" s="24">
        <f t="shared" si="6"/>
        <v>288.7702564102564</v>
      </c>
      <c r="Q10" s="21"/>
      <c r="R10" s="21"/>
    </row>
    <row r="11" spans="1:18" s="38" customFormat="1" ht="10.5" customHeight="1">
      <c r="A11" s="4" t="s">
        <v>60</v>
      </c>
      <c r="B11" s="26"/>
      <c r="C11" s="21"/>
      <c r="F11" s="15">
        <f>671978+19700+1400</f>
        <v>693078</v>
      </c>
      <c r="G11" s="22">
        <f t="shared" si="7"/>
        <v>74258.35714285716</v>
      </c>
      <c r="H11" s="22">
        <f t="shared" si="0"/>
        <v>0</v>
      </c>
      <c r="I11" s="7">
        <f>F11/12</f>
        <v>57756.5</v>
      </c>
      <c r="J11" s="29">
        <v>0</v>
      </c>
      <c r="K11" s="29">
        <v>0</v>
      </c>
      <c r="L11" s="22">
        <f>J11*146</f>
        <v>0</v>
      </c>
      <c r="M11" s="23">
        <f t="shared" si="3"/>
        <v>57756.5</v>
      </c>
      <c r="N11" s="24">
        <f t="shared" si="4"/>
        <v>395.5924657534247</v>
      </c>
      <c r="O11" s="24">
        <f>N11*1.65</f>
        <v>652.7275684931507</v>
      </c>
      <c r="P11" s="24">
        <f t="shared" si="6"/>
        <v>291.33435897435896</v>
      </c>
      <c r="Q11" s="21"/>
      <c r="R11" s="21"/>
    </row>
    <row r="12" spans="1:18" s="38" customFormat="1" ht="10.5" customHeight="1">
      <c r="A12" s="4" t="s">
        <v>61</v>
      </c>
      <c r="B12" s="26"/>
      <c r="C12" s="21"/>
      <c r="F12" s="15">
        <f>676978+19700+1400</f>
        <v>698078</v>
      </c>
      <c r="G12" s="22">
        <f t="shared" si="7"/>
        <v>74794.07142857148</v>
      </c>
      <c r="H12" s="22">
        <f t="shared" si="0"/>
        <v>0</v>
      </c>
      <c r="I12" s="7">
        <f t="shared" si="1"/>
        <v>58173.166666666664</v>
      </c>
      <c r="J12" s="29">
        <v>0</v>
      </c>
      <c r="K12" s="29">
        <v>0</v>
      </c>
      <c r="L12" s="22">
        <f t="shared" si="2"/>
        <v>0</v>
      </c>
      <c r="M12" s="23">
        <f t="shared" si="3"/>
        <v>58173.166666666664</v>
      </c>
      <c r="N12" s="24">
        <f t="shared" si="4"/>
        <v>398.44634703196346</v>
      </c>
      <c r="O12" s="24">
        <f t="shared" si="5"/>
        <v>657.4364726027396</v>
      </c>
      <c r="P12" s="24">
        <f t="shared" si="6"/>
        <v>293.89846153846156</v>
      </c>
      <c r="Q12" s="21"/>
      <c r="R12" s="21"/>
    </row>
    <row r="13" spans="1:18" s="38" customFormat="1" ht="10.5" customHeight="1">
      <c r="A13" s="4" t="s">
        <v>62</v>
      </c>
      <c r="B13" s="26"/>
      <c r="C13" s="21"/>
      <c r="F13" s="15">
        <f>681978+19700+1400</f>
        <v>703078</v>
      </c>
      <c r="G13" s="22">
        <f t="shared" si="7"/>
        <v>75329.7857142858</v>
      </c>
      <c r="H13" s="22">
        <f t="shared" si="0"/>
        <v>0</v>
      </c>
      <c r="I13" s="7">
        <f>F13/12</f>
        <v>58589.833333333336</v>
      </c>
      <c r="J13" s="29">
        <v>0</v>
      </c>
      <c r="K13" s="29">
        <v>0</v>
      </c>
      <c r="L13" s="22">
        <f t="shared" si="2"/>
        <v>0</v>
      </c>
      <c r="M13" s="23">
        <f t="shared" si="3"/>
        <v>58589.833333333336</v>
      </c>
      <c r="N13" s="24">
        <f t="shared" si="4"/>
        <v>401.3002283105023</v>
      </c>
      <c r="O13" s="24">
        <f t="shared" si="5"/>
        <v>662.1453767123287</v>
      </c>
      <c r="P13" s="24">
        <f t="shared" si="6"/>
        <v>296.4625641025641</v>
      </c>
      <c r="Q13" s="21"/>
      <c r="R13" s="21"/>
    </row>
    <row r="14" spans="1:18" s="38" customFormat="1" ht="10.5" customHeight="1">
      <c r="A14" s="4" t="s">
        <v>63</v>
      </c>
      <c r="B14" s="26"/>
      <c r="C14" s="21"/>
      <c r="F14" s="15">
        <f>686978+19700+1400</f>
        <v>708078</v>
      </c>
      <c r="G14" s="22">
        <f t="shared" si="7"/>
        <v>75865.50000000012</v>
      </c>
      <c r="H14" s="22">
        <f t="shared" si="0"/>
        <v>0</v>
      </c>
      <c r="I14" s="7">
        <f>F14/12</f>
        <v>59006.5</v>
      </c>
      <c r="J14" s="29">
        <v>0</v>
      </c>
      <c r="K14" s="29">
        <v>0</v>
      </c>
      <c r="L14" s="22">
        <f>J14*146</f>
        <v>0</v>
      </c>
      <c r="M14" s="23">
        <f t="shared" si="3"/>
        <v>59006.5</v>
      </c>
      <c r="N14" s="24">
        <f t="shared" si="4"/>
        <v>404.15410958904107</v>
      </c>
      <c r="O14" s="24">
        <f>N14*1.65</f>
        <v>666.8542808219178</v>
      </c>
      <c r="P14" s="24">
        <f t="shared" si="6"/>
        <v>299.02666666666664</v>
      </c>
      <c r="Q14" s="21"/>
      <c r="R14" s="21"/>
    </row>
    <row r="15" spans="1:18" s="38" customFormat="1" ht="10.5" customHeight="1">
      <c r="A15" s="4" t="s">
        <v>64</v>
      </c>
      <c r="B15" s="26"/>
      <c r="C15" s="21"/>
      <c r="F15" s="15">
        <f>691978+19700+1400</f>
        <v>713078</v>
      </c>
      <c r="G15" s="22">
        <f t="shared" si="7"/>
        <v>76401.21428571432</v>
      </c>
      <c r="H15" s="22">
        <f t="shared" si="0"/>
        <v>0</v>
      </c>
      <c r="I15" s="7">
        <f>F15/12</f>
        <v>59423.166666666664</v>
      </c>
      <c r="J15" s="29">
        <v>0</v>
      </c>
      <c r="K15" s="29">
        <v>0</v>
      </c>
      <c r="L15" s="22">
        <f>J15*146</f>
        <v>0</v>
      </c>
      <c r="M15" s="23">
        <f t="shared" si="3"/>
        <v>59423.166666666664</v>
      </c>
      <c r="N15" s="24">
        <f t="shared" si="4"/>
        <v>407.0079908675799</v>
      </c>
      <c r="O15" s="24">
        <f>N15*1.65</f>
        <v>671.5631849315068</v>
      </c>
      <c r="P15" s="24">
        <f t="shared" si="6"/>
        <v>301.59076923076924</v>
      </c>
      <c r="Q15" s="21"/>
      <c r="R15" s="21"/>
    </row>
    <row r="16" spans="1:16" s="4" customFormat="1" ht="11.25">
      <c r="A16" s="19"/>
      <c r="B16" s="3"/>
      <c r="C16" s="3"/>
      <c r="D16" s="10"/>
      <c r="E16" s="10"/>
      <c r="F16" s="12"/>
      <c r="G16" s="13"/>
      <c r="H16" s="13"/>
      <c r="I16" s="14"/>
      <c r="J16" s="15"/>
      <c r="K16" s="14"/>
      <c r="L16" s="13"/>
      <c r="M16" s="9"/>
      <c r="N16" s="16"/>
      <c r="O16" s="17"/>
      <c r="P16" s="24"/>
    </row>
    <row r="17" spans="1:17" ht="10.5" customHeight="1">
      <c r="A17" s="4" t="s">
        <v>13</v>
      </c>
      <c r="B17" s="37" t="s">
        <v>35</v>
      </c>
      <c r="C17" s="37" t="s">
        <v>83</v>
      </c>
      <c r="D17" s="37" t="s">
        <v>31</v>
      </c>
      <c r="E17" s="21" t="s">
        <v>91</v>
      </c>
      <c r="F17" s="15">
        <f>611448+5160+3100+9100+7166+4500+19700+1400</f>
        <v>661574</v>
      </c>
      <c r="G17" s="22">
        <f aca="true" t="shared" si="8" ref="G17:G24">F17-(F17/1.12)</f>
        <v>70882.92857142864</v>
      </c>
      <c r="H17" s="22">
        <f aca="true" t="shared" si="9" ref="H17:H24">K17*132</f>
        <v>0</v>
      </c>
      <c r="I17" s="7">
        <f aca="true" t="shared" si="10" ref="I17:I24">F17/12</f>
        <v>55131.166666666664</v>
      </c>
      <c r="J17" s="7"/>
      <c r="K17" s="7">
        <v>0</v>
      </c>
      <c r="L17" s="22">
        <f aca="true" t="shared" si="11" ref="L17:L24">K17*146</f>
        <v>0</v>
      </c>
      <c r="M17" s="23">
        <f aca="true" t="shared" si="12" ref="M17:M24">(F17-L17)/12</f>
        <v>55131.166666666664</v>
      </c>
      <c r="N17" s="24">
        <f aca="true" t="shared" si="13" ref="N17:N24">F17/1752</f>
        <v>377.6107305936073</v>
      </c>
      <c r="O17" s="24">
        <f aca="true" t="shared" si="14" ref="O17:O24">N17*1.65</f>
        <v>623.057705479452</v>
      </c>
      <c r="P17" s="24">
        <f t="shared" si="6"/>
        <v>275.17846153846153</v>
      </c>
      <c r="Q17" s="25"/>
    </row>
    <row r="18" spans="1:17" ht="10.5" customHeight="1">
      <c r="A18" s="4" t="s">
        <v>14</v>
      </c>
      <c r="B18" s="3" t="s">
        <v>80</v>
      </c>
      <c r="C18" s="4" t="s">
        <v>84</v>
      </c>
      <c r="D18" s="37" t="s">
        <v>81</v>
      </c>
      <c r="F18" s="15">
        <f>623965+5160+3100+9100+7166+4500+19700+1400</f>
        <v>674091</v>
      </c>
      <c r="G18" s="22">
        <f t="shared" si="8"/>
        <v>72224.0357142858</v>
      </c>
      <c r="H18" s="22">
        <f t="shared" si="9"/>
        <v>0</v>
      </c>
      <c r="I18" s="7">
        <f t="shared" si="10"/>
        <v>56174.25</v>
      </c>
      <c r="J18" s="7"/>
      <c r="K18" s="7">
        <v>0</v>
      </c>
      <c r="L18" s="22">
        <f t="shared" si="11"/>
        <v>0</v>
      </c>
      <c r="M18" s="23">
        <f t="shared" si="12"/>
        <v>56174.25</v>
      </c>
      <c r="N18" s="24">
        <f t="shared" si="13"/>
        <v>384.75513698630135</v>
      </c>
      <c r="O18" s="24">
        <f t="shared" si="14"/>
        <v>634.8459760273972</v>
      </c>
      <c r="P18" s="24">
        <f t="shared" si="6"/>
        <v>281.5974358974359</v>
      </c>
      <c r="Q18" s="25"/>
    </row>
    <row r="19" spans="1:17" ht="10.5" customHeight="1">
      <c r="A19" s="4" t="s">
        <v>15</v>
      </c>
      <c r="B19" s="20"/>
      <c r="C19" s="20"/>
      <c r="F19" s="15">
        <f>640371+5160+3100+9100+7166+4500+19700+1400</f>
        <v>690497</v>
      </c>
      <c r="G19" s="22">
        <f t="shared" si="8"/>
        <v>73981.82142857148</v>
      </c>
      <c r="H19" s="22">
        <f t="shared" si="9"/>
        <v>0</v>
      </c>
      <c r="I19" s="7">
        <f t="shared" si="10"/>
        <v>57541.416666666664</v>
      </c>
      <c r="J19" s="7"/>
      <c r="K19" s="7">
        <v>0</v>
      </c>
      <c r="L19" s="22">
        <f t="shared" si="11"/>
        <v>0</v>
      </c>
      <c r="M19" s="23">
        <f t="shared" si="12"/>
        <v>57541.416666666664</v>
      </c>
      <c r="N19" s="24">
        <f t="shared" si="13"/>
        <v>394.11929223744295</v>
      </c>
      <c r="O19" s="24">
        <f t="shared" si="14"/>
        <v>650.2968321917808</v>
      </c>
      <c r="P19" s="24">
        <f t="shared" si="6"/>
        <v>290.01076923076926</v>
      </c>
      <c r="Q19" s="25"/>
    </row>
    <row r="20" spans="1:17" ht="10.5" customHeight="1">
      <c r="A20" s="4" t="s">
        <v>16</v>
      </c>
      <c r="F20" s="15">
        <f>675745+19700+1400</f>
        <v>696845</v>
      </c>
      <c r="G20" s="22">
        <f t="shared" si="8"/>
        <v>74661.96428571432</v>
      </c>
      <c r="H20" s="22">
        <f t="shared" si="9"/>
        <v>0</v>
      </c>
      <c r="I20" s="7">
        <f t="shared" si="10"/>
        <v>58070.416666666664</v>
      </c>
      <c r="J20" s="7"/>
      <c r="K20" s="7">
        <v>0</v>
      </c>
      <c r="L20" s="22">
        <f t="shared" si="11"/>
        <v>0</v>
      </c>
      <c r="M20" s="23">
        <f t="shared" si="12"/>
        <v>58070.416666666664</v>
      </c>
      <c r="N20" s="24">
        <f t="shared" si="13"/>
        <v>397.7425799086758</v>
      </c>
      <c r="O20" s="24">
        <f t="shared" si="14"/>
        <v>656.275256849315</v>
      </c>
      <c r="P20" s="24">
        <f t="shared" si="6"/>
        <v>293.2661538461538</v>
      </c>
      <c r="Q20" s="25"/>
    </row>
    <row r="21" spans="1:17" ht="10.5" customHeight="1">
      <c r="A21" s="4" t="s">
        <v>17</v>
      </c>
      <c r="F21" s="15">
        <f>680745+19700+1400</f>
        <v>701845</v>
      </c>
      <c r="G21" s="22">
        <f t="shared" si="8"/>
        <v>75197.67857142864</v>
      </c>
      <c r="H21" s="22">
        <f t="shared" si="9"/>
        <v>0</v>
      </c>
      <c r="I21" s="7">
        <f t="shared" si="10"/>
        <v>58487.083333333336</v>
      </c>
      <c r="J21" s="7"/>
      <c r="K21" s="7">
        <v>0</v>
      </c>
      <c r="L21" s="22">
        <f t="shared" si="11"/>
        <v>0</v>
      </c>
      <c r="M21" s="23">
        <f t="shared" si="12"/>
        <v>58487.083333333336</v>
      </c>
      <c r="N21" s="24">
        <f t="shared" si="13"/>
        <v>400.59646118721463</v>
      </c>
      <c r="O21" s="24">
        <f t="shared" si="14"/>
        <v>660.9841609589041</v>
      </c>
      <c r="P21" s="24">
        <f t="shared" si="6"/>
        <v>295.8302564102564</v>
      </c>
      <c r="Q21" s="25"/>
    </row>
    <row r="22" spans="1:17" ht="10.5" customHeight="1">
      <c r="A22" s="4" t="s">
        <v>18</v>
      </c>
      <c r="F22" s="15">
        <f>685745+19700+1400</f>
        <v>706845</v>
      </c>
      <c r="G22" s="22">
        <f t="shared" si="8"/>
        <v>75733.39285714296</v>
      </c>
      <c r="H22" s="22">
        <f t="shared" si="9"/>
        <v>0</v>
      </c>
      <c r="I22" s="7">
        <f t="shared" si="10"/>
        <v>58903.75</v>
      </c>
      <c r="J22" s="7"/>
      <c r="K22" s="7">
        <v>0</v>
      </c>
      <c r="L22" s="22">
        <f t="shared" si="11"/>
        <v>0</v>
      </c>
      <c r="M22" s="23">
        <f t="shared" si="12"/>
        <v>58903.75</v>
      </c>
      <c r="N22" s="24">
        <f t="shared" si="13"/>
        <v>403.4503424657534</v>
      </c>
      <c r="O22" s="24">
        <f t="shared" si="14"/>
        <v>665.6930650684931</v>
      </c>
      <c r="P22" s="24">
        <f t="shared" si="6"/>
        <v>298.39435897435897</v>
      </c>
      <c r="Q22" s="25"/>
    </row>
    <row r="23" spans="1:17" ht="10.5" customHeight="1">
      <c r="A23" s="4" t="s">
        <v>19</v>
      </c>
      <c r="F23" s="15">
        <f>690745+19700+1400</f>
        <v>711845</v>
      </c>
      <c r="G23" s="22">
        <f t="shared" si="8"/>
        <v>76269.10714285716</v>
      </c>
      <c r="H23" s="22">
        <f t="shared" si="9"/>
        <v>0</v>
      </c>
      <c r="I23" s="7">
        <f t="shared" si="10"/>
        <v>59320.416666666664</v>
      </c>
      <c r="J23" s="7"/>
      <c r="K23" s="7">
        <v>0</v>
      </c>
      <c r="L23" s="22">
        <f t="shared" si="11"/>
        <v>0</v>
      </c>
      <c r="M23" s="23">
        <f t="shared" si="12"/>
        <v>59320.416666666664</v>
      </c>
      <c r="N23" s="24">
        <f t="shared" si="13"/>
        <v>406.30422374429224</v>
      </c>
      <c r="O23" s="24">
        <f t="shared" si="14"/>
        <v>670.4019691780821</v>
      </c>
      <c r="P23" s="24">
        <f t="shared" si="6"/>
        <v>300.95846153846156</v>
      </c>
      <c r="Q23" s="25"/>
    </row>
    <row r="24" spans="1:16" ht="10.5" customHeight="1">
      <c r="A24" s="4" t="s">
        <v>23</v>
      </c>
      <c r="F24" s="15">
        <f>695745+19700+1400</f>
        <v>716845</v>
      </c>
      <c r="G24" s="22">
        <f t="shared" si="8"/>
        <v>76804.82142857148</v>
      </c>
      <c r="H24" s="22">
        <f t="shared" si="9"/>
        <v>0</v>
      </c>
      <c r="I24" s="7">
        <f t="shared" si="10"/>
        <v>59737.083333333336</v>
      </c>
      <c r="J24" s="7"/>
      <c r="K24" s="7">
        <v>0</v>
      </c>
      <c r="L24" s="22">
        <f t="shared" si="11"/>
        <v>0</v>
      </c>
      <c r="M24" s="23">
        <f t="shared" si="12"/>
        <v>59737.083333333336</v>
      </c>
      <c r="N24" s="24">
        <f t="shared" si="13"/>
        <v>409.158105022831</v>
      </c>
      <c r="O24" s="24">
        <f t="shared" si="14"/>
        <v>675.1108732876711</v>
      </c>
      <c r="P24" s="24">
        <f t="shared" si="6"/>
        <v>303.5225641025641</v>
      </c>
    </row>
    <row r="25" spans="1:16" ht="10.5" customHeight="1">
      <c r="A25" s="4" t="s">
        <v>37</v>
      </c>
      <c r="F25" s="15">
        <f>700745+19700+1400</f>
        <v>721845</v>
      </c>
      <c r="G25" s="22">
        <f>F25-(F25/1.12)</f>
        <v>77340.5357142858</v>
      </c>
      <c r="H25" s="22">
        <f>K25*132</f>
        <v>0</v>
      </c>
      <c r="I25" s="7">
        <f>F25/12</f>
        <v>60153.75</v>
      </c>
      <c r="J25" s="7"/>
      <c r="K25" s="7">
        <v>0</v>
      </c>
      <c r="L25" s="22">
        <f>K25*146</f>
        <v>0</v>
      </c>
      <c r="M25" s="23">
        <f>(F25-L25)/12</f>
        <v>60153.75</v>
      </c>
      <c r="N25" s="24">
        <f>F25/1752</f>
        <v>412.01198630136986</v>
      </c>
      <c r="O25" s="24">
        <f>N25*1.65</f>
        <v>679.8197773972603</v>
      </c>
      <c r="P25" s="24">
        <f t="shared" si="6"/>
        <v>306.08666666666664</v>
      </c>
    </row>
    <row r="26" spans="1:16" ht="10.5" customHeight="1">
      <c r="A26" s="4" t="s">
        <v>49</v>
      </c>
      <c r="F26" s="15">
        <f>705745+19700+1400</f>
        <v>726845</v>
      </c>
      <c r="G26" s="22">
        <f>F26-(F26/1.12)</f>
        <v>77876.25000000012</v>
      </c>
      <c r="H26" s="22">
        <f>K26*132</f>
        <v>0</v>
      </c>
      <c r="I26" s="7">
        <f>F26/12</f>
        <v>60570.416666666664</v>
      </c>
      <c r="J26" s="7"/>
      <c r="K26" s="7">
        <v>0</v>
      </c>
      <c r="L26" s="22">
        <f>K26*146</f>
        <v>0</v>
      </c>
      <c r="M26" s="23">
        <f>(F26-L26)/12</f>
        <v>60570.416666666664</v>
      </c>
      <c r="N26" s="24">
        <f>F26/1752</f>
        <v>414.8658675799087</v>
      </c>
      <c r="O26" s="24">
        <f>N26*1.65</f>
        <v>684.5286815068494</v>
      </c>
      <c r="P26" s="24">
        <f t="shared" si="6"/>
        <v>308.65076923076924</v>
      </c>
    </row>
    <row r="27" spans="1:16" ht="10.5" customHeight="1">
      <c r="A27" s="4" t="s">
        <v>52</v>
      </c>
      <c r="F27" s="15">
        <f>706245+4500+19700+1400</f>
        <v>731845</v>
      </c>
      <c r="G27" s="22">
        <f>F27-(F27/1.12)</f>
        <v>78411.96428571432</v>
      </c>
      <c r="H27" s="22">
        <f>K27*132</f>
        <v>0</v>
      </c>
      <c r="I27" s="7">
        <f>F27/12</f>
        <v>60987.083333333336</v>
      </c>
      <c r="J27" s="7"/>
      <c r="K27" s="7">
        <v>0</v>
      </c>
      <c r="L27" s="22">
        <f>K27*146</f>
        <v>0</v>
      </c>
      <c r="M27" s="23">
        <f>(F27-L27)/12</f>
        <v>60987.083333333336</v>
      </c>
      <c r="N27" s="24">
        <f>F27/1752</f>
        <v>417.7197488584475</v>
      </c>
      <c r="O27" s="24">
        <f>N27*1.65</f>
        <v>689.2375856164383</v>
      </c>
      <c r="P27" s="24">
        <f t="shared" si="6"/>
        <v>311.2148717948718</v>
      </c>
    </row>
    <row r="28" ht="10.5" customHeight="1">
      <c r="M28" s="23"/>
    </row>
    <row r="29" spans="1:18" s="38" customFormat="1" ht="10.5" customHeight="1">
      <c r="A29" s="4" t="s">
        <v>67</v>
      </c>
      <c r="B29" s="3" t="s">
        <v>86</v>
      </c>
      <c r="C29" s="4" t="s">
        <v>85</v>
      </c>
      <c r="D29" s="37" t="s">
        <v>87</v>
      </c>
      <c r="E29" s="21" t="s">
        <v>91</v>
      </c>
      <c r="F29" s="15">
        <f>647895+5160+3100+9100+7166+4500+19700+1400</f>
        <v>698021</v>
      </c>
      <c r="G29" s="22">
        <f aca="true" t="shared" si="15" ref="G29:G38">F29-(F29/1.12)</f>
        <v>74787.96428571432</v>
      </c>
      <c r="H29" s="22">
        <f aca="true" t="shared" si="16" ref="H29:H36">K29*132</f>
        <v>0</v>
      </c>
      <c r="I29" s="7">
        <f aca="true" t="shared" si="17" ref="I29:I38">F29/12</f>
        <v>58168.416666666664</v>
      </c>
      <c r="J29" s="29"/>
      <c r="K29" s="7">
        <v>0</v>
      </c>
      <c r="L29" s="29">
        <v>0</v>
      </c>
      <c r="M29" s="29">
        <f aca="true" t="shared" si="18" ref="M29:M38">892+14+9</f>
        <v>915</v>
      </c>
      <c r="N29" s="24">
        <f aca="true" t="shared" si="19" ref="N29:N38">F29/1752</f>
        <v>398.41381278538813</v>
      </c>
      <c r="O29" s="24">
        <f aca="true" t="shared" si="20" ref="O29:O38">N29*1.65</f>
        <v>657.3827910958904</v>
      </c>
      <c r="P29" s="24">
        <f aca="true" t="shared" si="21" ref="P29:P38">(F29-(856*146))/1950</f>
        <v>293.8692307692308</v>
      </c>
      <c r="R29" s="21"/>
    </row>
    <row r="30" spans="1:18" s="38" customFormat="1" ht="10.5" customHeight="1">
      <c r="A30" s="4" t="s">
        <v>68</v>
      </c>
      <c r="B30" s="26"/>
      <c r="C30" s="21"/>
      <c r="D30" s="20" t="s">
        <v>94</v>
      </c>
      <c r="F30" s="15">
        <f>664342+5160+3100+9100+7166+4500+19700+1400</f>
        <v>714468</v>
      </c>
      <c r="G30" s="22">
        <f t="shared" si="15"/>
        <v>76550.14285714296</v>
      </c>
      <c r="H30" s="22">
        <f t="shared" si="16"/>
        <v>0</v>
      </c>
      <c r="I30" s="7">
        <f t="shared" si="17"/>
        <v>59539</v>
      </c>
      <c r="J30" s="29"/>
      <c r="K30" s="7">
        <v>0</v>
      </c>
      <c r="L30" s="29">
        <v>0</v>
      </c>
      <c r="M30" s="29">
        <f t="shared" si="18"/>
        <v>915</v>
      </c>
      <c r="N30" s="24">
        <f t="shared" si="19"/>
        <v>407.8013698630137</v>
      </c>
      <c r="O30" s="24">
        <f t="shared" si="20"/>
        <v>672.8722602739725</v>
      </c>
      <c r="P30" s="24">
        <f t="shared" si="21"/>
        <v>302.3035897435897</v>
      </c>
      <c r="R30" s="21"/>
    </row>
    <row r="31" spans="1:18" s="38" customFormat="1" ht="10.5" customHeight="1">
      <c r="A31" s="4" t="s">
        <v>69</v>
      </c>
      <c r="B31" s="26"/>
      <c r="C31" s="21"/>
      <c r="F31" s="15">
        <f>703562+19700+1400</f>
        <v>724662</v>
      </c>
      <c r="G31" s="22">
        <f t="shared" si="15"/>
        <v>77642.35714285716</v>
      </c>
      <c r="H31" s="22">
        <f t="shared" si="16"/>
        <v>0</v>
      </c>
      <c r="I31" s="7">
        <f t="shared" si="17"/>
        <v>60388.5</v>
      </c>
      <c r="J31" s="29"/>
      <c r="K31" s="7">
        <v>0</v>
      </c>
      <c r="L31" s="29">
        <v>0</v>
      </c>
      <c r="M31" s="29">
        <f t="shared" si="18"/>
        <v>915</v>
      </c>
      <c r="N31" s="24">
        <f t="shared" si="19"/>
        <v>413.61986301369865</v>
      </c>
      <c r="O31" s="24">
        <f t="shared" si="20"/>
        <v>682.4727739726027</v>
      </c>
      <c r="P31" s="24">
        <f t="shared" si="21"/>
        <v>307.53128205128206</v>
      </c>
      <c r="R31" s="21"/>
    </row>
    <row r="32" spans="1:18" s="38" customFormat="1" ht="10.5" customHeight="1">
      <c r="A32" s="4" t="s">
        <v>70</v>
      </c>
      <c r="B32" s="26"/>
      <c r="C32" s="21"/>
      <c r="F32" s="15">
        <f>708562+19700+1400</f>
        <v>729662</v>
      </c>
      <c r="G32" s="22">
        <f t="shared" si="15"/>
        <v>78178.07142857148</v>
      </c>
      <c r="H32" s="22">
        <f t="shared" si="16"/>
        <v>0</v>
      </c>
      <c r="I32" s="7">
        <f t="shared" si="17"/>
        <v>60805.166666666664</v>
      </c>
      <c r="J32" s="29"/>
      <c r="K32" s="7">
        <v>0</v>
      </c>
      <c r="L32" s="29">
        <v>0</v>
      </c>
      <c r="M32" s="29">
        <f t="shared" si="18"/>
        <v>915</v>
      </c>
      <c r="N32" s="24">
        <f t="shared" si="19"/>
        <v>416.4737442922374</v>
      </c>
      <c r="O32" s="24">
        <f t="shared" si="20"/>
        <v>687.1816780821918</v>
      </c>
      <c r="P32" s="24">
        <f t="shared" si="21"/>
        <v>310.0953846153846</v>
      </c>
      <c r="R32" s="21"/>
    </row>
    <row r="33" spans="1:18" s="38" customFormat="1" ht="10.5" customHeight="1">
      <c r="A33" s="4" t="s">
        <v>71</v>
      </c>
      <c r="B33" s="39"/>
      <c r="F33" s="15">
        <f>713562+19700+1400</f>
        <v>734662</v>
      </c>
      <c r="G33" s="22">
        <f t="shared" si="15"/>
        <v>78713.7857142858</v>
      </c>
      <c r="H33" s="22">
        <f t="shared" si="16"/>
        <v>0</v>
      </c>
      <c r="I33" s="7">
        <f t="shared" si="17"/>
        <v>61221.833333333336</v>
      </c>
      <c r="J33" s="29"/>
      <c r="K33" s="7">
        <v>0</v>
      </c>
      <c r="L33" s="29">
        <v>0</v>
      </c>
      <c r="M33" s="29">
        <f t="shared" si="18"/>
        <v>915</v>
      </c>
      <c r="N33" s="24">
        <f t="shared" si="19"/>
        <v>419.32762557077626</v>
      </c>
      <c r="O33" s="24">
        <f t="shared" si="20"/>
        <v>691.8905821917808</v>
      </c>
      <c r="P33" s="24">
        <f t="shared" si="21"/>
        <v>312.6594871794872</v>
      </c>
      <c r="R33" s="21"/>
    </row>
    <row r="34" spans="1:18" s="38" customFormat="1" ht="10.5" customHeight="1">
      <c r="A34" s="4" t="s">
        <v>72</v>
      </c>
      <c r="B34" s="39"/>
      <c r="F34" s="15">
        <f>718562+19700+1400</f>
        <v>739662</v>
      </c>
      <c r="G34" s="22">
        <f t="shared" si="15"/>
        <v>79249.50000000012</v>
      </c>
      <c r="H34" s="22">
        <f t="shared" si="16"/>
        <v>0</v>
      </c>
      <c r="I34" s="7">
        <f t="shared" si="17"/>
        <v>61638.5</v>
      </c>
      <c r="J34" s="29"/>
      <c r="K34" s="7">
        <v>0</v>
      </c>
      <c r="L34" s="29">
        <v>0</v>
      </c>
      <c r="M34" s="29">
        <f t="shared" si="18"/>
        <v>915</v>
      </c>
      <c r="N34" s="24">
        <f t="shared" si="19"/>
        <v>422.18150684931504</v>
      </c>
      <c r="O34" s="24">
        <f t="shared" si="20"/>
        <v>696.5994863013698</v>
      </c>
      <c r="P34" s="24">
        <f t="shared" si="21"/>
        <v>315.22358974358974</v>
      </c>
      <c r="R34" s="21"/>
    </row>
    <row r="35" spans="1:18" s="38" customFormat="1" ht="10.5" customHeight="1">
      <c r="A35" s="4" t="s">
        <v>73</v>
      </c>
      <c r="B35" s="39"/>
      <c r="F35" s="15">
        <f>723562+19700+1400</f>
        <v>744662</v>
      </c>
      <c r="G35" s="22">
        <f t="shared" si="15"/>
        <v>79785.21428571432</v>
      </c>
      <c r="H35" s="22">
        <f t="shared" si="16"/>
        <v>0</v>
      </c>
      <c r="I35" s="7">
        <f t="shared" si="17"/>
        <v>62055.166666666664</v>
      </c>
      <c r="J35" s="29"/>
      <c r="K35" s="7">
        <v>0</v>
      </c>
      <c r="L35" s="29">
        <v>0</v>
      </c>
      <c r="M35" s="29">
        <f t="shared" si="18"/>
        <v>915</v>
      </c>
      <c r="N35" s="24">
        <f t="shared" si="19"/>
        <v>425.0353881278539</v>
      </c>
      <c r="O35" s="24">
        <f t="shared" si="20"/>
        <v>701.3083904109589</v>
      </c>
      <c r="P35" s="24">
        <f t="shared" si="21"/>
        <v>317.7876923076923</v>
      </c>
      <c r="R35" s="21"/>
    </row>
    <row r="36" spans="1:18" s="38" customFormat="1" ht="10.5" customHeight="1">
      <c r="A36" s="4" t="s">
        <v>74</v>
      </c>
      <c r="B36" s="39"/>
      <c r="F36" s="15">
        <f>728562+19700+1400</f>
        <v>749662</v>
      </c>
      <c r="G36" s="22">
        <f t="shared" si="15"/>
        <v>80320.92857142864</v>
      </c>
      <c r="H36" s="22">
        <f t="shared" si="16"/>
        <v>0</v>
      </c>
      <c r="I36" s="7">
        <f t="shared" si="17"/>
        <v>62471.833333333336</v>
      </c>
      <c r="J36" s="29"/>
      <c r="K36" s="7">
        <v>0</v>
      </c>
      <c r="L36" s="29">
        <v>0</v>
      </c>
      <c r="M36" s="29">
        <f t="shared" si="18"/>
        <v>915</v>
      </c>
      <c r="N36" s="24">
        <f t="shared" si="19"/>
        <v>427.8892694063927</v>
      </c>
      <c r="O36" s="24">
        <f t="shared" si="20"/>
        <v>706.0172945205479</v>
      </c>
      <c r="P36" s="24">
        <f t="shared" si="21"/>
        <v>320.3517948717949</v>
      </c>
      <c r="R36" s="21"/>
    </row>
    <row r="37" spans="1:18" s="38" customFormat="1" ht="10.5" customHeight="1">
      <c r="A37" s="4" t="s">
        <v>75</v>
      </c>
      <c r="B37" s="39"/>
      <c r="F37" s="15">
        <f>733562+19700+1400</f>
        <v>754662</v>
      </c>
      <c r="G37" s="22">
        <f t="shared" si="15"/>
        <v>80856.64285714296</v>
      </c>
      <c r="H37" s="22">
        <f>K37*132</f>
        <v>0</v>
      </c>
      <c r="I37" s="7">
        <f t="shared" si="17"/>
        <v>62888.5</v>
      </c>
      <c r="J37" s="29"/>
      <c r="K37" s="7">
        <v>0</v>
      </c>
      <c r="L37" s="29">
        <v>0</v>
      </c>
      <c r="M37" s="29">
        <f t="shared" si="18"/>
        <v>915</v>
      </c>
      <c r="N37" s="24">
        <f t="shared" si="19"/>
        <v>430.7431506849315</v>
      </c>
      <c r="O37" s="24">
        <f t="shared" si="20"/>
        <v>710.7261986301369</v>
      </c>
      <c r="P37" s="24">
        <f t="shared" si="21"/>
        <v>322.9158974358974</v>
      </c>
      <c r="R37" s="21"/>
    </row>
    <row r="38" spans="1:18" s="38" customFormat="1" ht="10.5" customHeight="1">
      <c r="A38" s="4" t="s">
        <v>76</v>
      </c>
      <c r="B38" s="39"/>
      <c r="F38" s="15">
        <f>738562+19700+1400</f>
        <v>759662</v>
      </c>
      <c r="G38" s="22">
        <f t="shared" si="15"/>
        <v>81392.35714285716</v>
      </c>
      <c r="H38" s="22">
        <f>K38*132</f>
        <v>0</v>
      </c>
      <c r="I38" s="7">
        <f t="shared" si="17"/>
        <v>63305.166666666664</v>
      </c>
      <c r="J38" s="29"/>
      <c r="K38" s="7">
        <v>0</v>
      </c>
      <c r="L38" s="29">
        <v>0</v>
      </c>
      <c r="M38" s="29">
        <f t="shared" si="18"/>
        <v>915</v>
      </c>
      <c r="N38" s="24">
        <f t="shared" si="19"/>
        <v>433.59703196347033</v>
      </c>
      <c r="O38" s="24">
        <f t="shared" si="20"/>
        <v>715.435102739726</v>
      </c>
      <c r="P38" s="24">
        <f t="shared" si="21"/>
        <v>325.48</v>
      </c>
      <c r="R38" s="21"/>
    </row>
    <row r="39" spans="1:17" ht="10.5" customHeight="1">
      <c r="A39" s="9"/>
      <c r="F39" s="26"/>
      <c r="G39" s="21"/>
      <c r="I39" s="22"/>
      <c r="J39" s="22"/>
      <c r="K39" s="7"/>
      <c r="L39" s="7"/>
      <c r="M39" s="7"/>
      <c r="N39" s="22"/>
      <c r="O39" s="23"/>
      <c r="Q39" s="24"/>
    </row>
    <row r="40" spans="1:13" ht="10.5" customHeight="1">
      <c r="A40" s="9" t="s">
        <v>88</v>
      </c>
      <c r="B40" s="3" t="s">
        <v>89</v>
      </c>
      <c r="C40" s="4" t="s">
        <v>90</v>
      </c>
      <c r="D40" s="3" t="s">
        <v>92</v>
      </c>
      <c r="E40" s="21" t="s">
        <v>91</v>
      </c>
      <c r="F40" s="15"/>
      <c r="G40" s="22"/>
      <c r="H40" s="22"/>
      <c r="I40" s="7"/>
      <c r="J40" s="7"/>
      <c r="K40" s="7"/>
      <c r="M40" s="23"/>
    </row>
    <row r="41" spans="1:13" ht="10.5" customHeight="1">
      <c r="A41" s="9"/>
      <c r="F41" s="15"/>
      <c r="G41" s="22"/>
      <c r="H41" s="22"/>
      <c r="I41" s="7"/>
      <c r="J41" s="7"/>
      <c r="K41" s="7"/>
      <c r="M41" s="23"/>
    </row>
    <row r="42" spans="1:13" ht="10.5" customHeight="1">
      <c r="A42" s="9"/>
      <c r="F42" s="15"/>
      <c r="G42" s="22"/>
      <c r="H42" s="22"/>
      <c r="I42" s="7"/>
      <c r="J42" s="7"/>
      <c r="K42" s="7"/>
      <c r="M42" s="23"/>
    </row>
    <row r="43" spans="1:13" ht="10.5" customHeight="1">
      <c r="A43" s="9"/>
      <c r="F43" s="15"/>
      <c r="G43" s="22"/>
      <c r="H43" s="22"/>
      <c r="I43" s="7"/>
      <c r="J43" s="7"/>
      <c r="K43" s="7"/>
      <c r="M43" s="23"/>
    </row>
    <row r="44" spans="1:13" ht="10.5" customHeight="1">
      <c r="A44" s="9"/>
      <c r="F44" s="15"/>
      <c r="G44" s="22"/>
      <c r="H44" s="22"/>
      <c r="I44" s="7"/>
      <c r="J44" s="7"/>
      <c r="K44" s="7"/>
      <c r="M44" s="23"/>
    </row>
    <row r="45" spans="1:13" ht="10.5" customHeight="1">
      <c r="A45" s="9"/>
      <c r="F45" s="15"/>
      <c r="G45" s="22"/>
      <c r="H45" s="22"/>
      <c r="I45" s="7"/>
      <c r="J45" s="7"/>
      <c r="K45" s="7"/>
      <c r="M45" s="23"/>
    </row>
    <row r="46" spans="1:13" ht="10.5" customHeight="1">
      <c r="A46" s="9"/>
      <c r="F46" s="15"/>
      <c r="G46" s="22"/>
      <c r="H46" s="22"/>
      <c r="I46" s="7"/>
      <c r="J46" s="7"/>
      <c r="K46" s="7"/>
      <c r="M46" s="23"/>
    </row>
    <row r="47" spans="1:13" ht="10.5" customHeight="1">
      <c r="A47" s="9"/>
      <c r="F47" s="15"/>
      <c r="G47" s="22"/>
      <c r="H47" s="22"/>
      <c r="I47" s="7"/>
      <c r="J47" s="7"/>
      <c r="K47" s="7"/>
      <c r="M47" s="23"/>
    </row>
    <row r="48" spans="1:13" ht="10.5" customHeight="1">
      <c r="A48" s="9"/>
      <c r="F48" s="15"/>
      <c r="G48" s="22"/>
      <c r="H48" s="22"/>
      <c r="I48" s="7"/>
      <c r="J48" s="7"/>
      <c r="K48" s="7"/>
      <c r="M48" s="23"/>
    </row>
    <row r="49" spans="1:15" ht="10.5" customHeight="1">
      <c r="A49" s="9"/>
      <c r="F49" s="4"/>
      <c r="G49" s="22"/>
      <c r="H49" s="22"/>
      <c r="I49" s="7"/>
      <c r="J49" s="31"/>
      <c r="K49" s="31"/>
      <c r="L49" s="32"/>
      <c r="M49" s="33"/>
      <c r="N49" s="34"/>
      <c r="O49" s="35"/>
    </row>
    <row r="50" spans="1:13" ht="10.5" customHeight="1">
      <c r="A50" s="36"/>
      <c r="F50" s="15"/>
      <c r="G50" s="22"/>
      <c r="H50" s="22"/>
      <c r="I50" s="7"/>
      <c r="J50" s="7"/>
      <c r="K50" s="7"/>
      <c r="M50" s="23"/>
    </row>
    <row r="51" spans="1:13" ht="10.5" customHeight="1">
      <c r="A51" s="36"/>
      <c r="F51" s="15"/>
      <c r="G51" s="22"/>
      <c r="H51" s="22"/>
      <c r="I51" s="7"/>
      <c r="J51" s="7"/>
      <c r="K51" s="7"/>
      <c r="M51" s="23"/>
    </row>
    <row r="52" spans="1:13" ht="10.5" customHeight="1">
      <c r="A52" s="36"/>
      <c r="F52" s="15"/>
      <c r="G52" s="22"/>
      <c r="H52" s="22"/>
      <c r="I52" s="7"/>
      <c r="J52" s="7"/>
      <c r="K52" s="7"/>
      <c r="M52" s="23"/>
    </row>
    <row r="53" spans="1:13" ht="10.5" customHeight="1">
      <c r="A53" s="36"/>
      <c r="F53" s="15"/>
      <c r="G53" s="22"/>
      <c r="H53" s="22"/>
      <c r="I53" s="7"/>
      <c r="J53" s="7"/>
      <c r="K53" s="7"/>
      <c r="M53" s="23"/>
    </row>
    <row r="54" spans="6:13" ht="10.5" customHeight="1">
      <c r="F54" s="15"/>
      <c r="G54" s="22"/>
      <c r="H54" s="22"/>
      <c r="I54" s="7"/>
      <c r="J54" s="7"/>
      <c r="K54" s="7"/>
      <c r="M54" s="23"/>
    </row>
    <row r="55" spans="6:13" ht="10.5" customHeight="1">
      <c r="F55" s="15"/>
      <c r="G55" s="22"/>
      <c r="H55" s="22"/>
      <c r="I55" s="7"/>
      <c r="J55" s="7"/>
      <c r="K55" s="7"/>
      <c r="M55" s="23"/>
    </row>
    <row r="56" spans="6:13" ht="10.5" customHeight="1">
      <c r="F56" s="15"/>
      <c r="G56" s="22"/>
      <c r="H56" s="22"/>
      <c r="I56" s="7"/>
      <c r="J56" s="7"/>
      <c r="K56" s="7"/>
      <c r="M56" s="23"/>
    </row>
    <row r="57" spans="6:13" ht="10.5" customHeight="1">
      <c r="F57" s="15"/>
      <c r="G57" s="22"/>
      <c r="H57" s="22"/>
      <c r="I57" s="7"/>
      <c r="J57" s="7"/>
      <c r="K57" s="7"/>
      <c r="M57" s="23"/>
    </row>
    <row r="58" spans="6:13" ht="10.5" customHeight="1">
      <c r="F58" s="15"/>
      <c r="G58" s="22"/>
      <c r="H58" s="22"/>
      <c r="I58" s="7"/>
      <c r="J58" s="7"/>
      <c r="K58" s="7"/>
      <c r="M58" s="23"/>
    </row>
    <row r="59" spans="6:13" ht="10.5" customHeight="1">
      <c r="F59" s="15"/>
      <c r="G59" s="22"/>
      <c r="H59" s="22"/>
      <c r="I59" s="7"/>
      <c r="J59" s="7"/>
      <c r="K59" s="7"/>
      <c r="M59" s="23"/>
    </row>
    <row r="60" spans="6:13" ht="10.5" customHeight="1">
      <c r="F60" s="15"/>
      <c r="G60" s="22"/>
      <c r="H60" s="22"/>
      <c r="I60" s="7"/>
      <c r="J60" s="7"/>
      <c r="K60" s="7"/>
      <c r="M60" s="23"/>
    </row>
    <row r="61" spans="6:13" ht="10.5" customHeight="1">
      <c r="F61" s="15"/>
      <c r="G61" s="22"/>
      <c r="H61" s="22"/>
      <c r="I61" s="7"/>
      <c r="J61" s="7"/>
      <c r="K61" s="7"/>
      <c r="M61" s="23"/>
    </row>
    <row r="62" spans="2:13" ht="10.5" customHeight="1">
      <c r="B62" s="20"/>
      <c r="C62" s="20"/>
      <c r="F62" s="15"/>
      <c r="G62" s="22"/>
      <c r="H62" s="22"/>
      <c r="I62" s="7"/>
      <c r="K62" s="7"/>
      <c r="M62" s="23"/>
    </row>
    <row r="63" spans="2:13" ht="10.5" customHeight="1">
      <c r="B63" s="20"/>
      <c r="C63" s="20"/>
      <c r="F63" s="15"/>
      <c r="G63" s="22"/>
      <c r="H63" s="22"/>
      <c r="I63" s="7"/>
      <c r="K63" s="7"/>
      <c r="M63" s="23"/>
    </row>
    <row r="64" spans="2:13" ht="10.5" customHeight="1">
      <c r="B64" s="20"/>
      <c r="C64" s="20"/>
      <c r="F64" s="15"/>
      <c r="G64" s="22"/>
      <c r="H64" s="22"/>
      <c r="I64" s="7"/>
      <c r="K64" s="7"/>
      <c r="M64" s="23"/>
    </row>
    <row r="65" spans="6:13" ht="10.5" customHeight="1">
      <c r="F65" s="15"/>
      <c r="G65" s="22"/>
      <c r="H65" s="22"/>
      <c r="I65" s="7"/>
      <c r="K65" s="7"/>
      <c r="M65" s="23"/>
    </row>
    <row r="66" spans="6:13" ht="10.5" customHeight="1">
      <c r="F66" s="15"/>
      <c r="G66" s="22"/>
      <c r="H66" s="22"/>
      <c r="I66" s="7"/>
      <c r="K66" s="7"/>
      <c r="M66" s="23"/>
    </row>
    <row r="67" spans="6:13" ht="10.5" customHeight="1">
      <c r="F67" s="15"/>
      <c r="G67" s="22"/>
      <c r="H67" s="22"/>
      <c r="I67" s="7"/>
      <c r="K67" s="7"/>
      <c r="M67" s="23"/>
    </row>
    <row r="68" spans="6:13" ht="10.5" customHeight="1">
      <c r="F68" s="15"/>
      <c r="G68" s="22"/>
      <c r="H68" s="22"/>
      <c r="I68" s="7"/>
      <c r="K68" s="7"/>
      <c r="M68" s="23"/>
    </row>
    <row r="69" spans="6:13" ht="10.5" customHeight="1">
      <c r="F69" s="15"/>
      <c r="G69" s="22"/>
      <c r="H69" s="22"/>
      <c r="I69" s="7"/>
      <c r="K69" s="7"/>
      <c r="M69" s="23"/>
    </row>
    <row r="70" spans="6:13" ht="10.5" customHeight="1">
      <c r="F70" s="15"/>
      <c r="G70" s="22"/>
      <c r="H70" s="22"/>
      <c r="I70" s="7"/>
      <c r="K70" s="7"/>
      <c r="M70" s="23"/>
    </row>
    <row r="71" spans="6:13" ht="10.5" customHeight="1">
      <c r="F71" s="15"/>
      <c r="G71" s="22"/>
      <c r="H71" s="22"/>
      <c r="I71" s="7"/>
      <c r="K71" s="7"/>
      <c r="M71" s="23"/>
    </row>
    <row r="72" spans="6:13" ht="10.5" customHeight="1">
      <c r="F72" s="15"/>
      <c r="G72" s="22"/>
      <c r="H72" s="22"/>
      <c r="I72" s="7"/>
      <c r="K72" s="7"/>
      <c r="M72" s="23"/>
    </row>
    <row r="73" spans="7:13" ht="10.5" customHeight="1">
      <c r="G73" s="22"/>
      <c r="H73" s="22"/>
      <c r="M73" s="23"/>
    </row>
    <row r="74" ht="10.5" customHeight="1">
      <c r="M74" s="23"/>
    </row>
    <row r="75" spans="11:13" ht="10.5" customHeight="1">
      <c r="K75" s="7"/>
      <c r="M75" s="23"/>
    </row>
    <row r="76" ht="10.5" customHeight="1">
      <c r="M76" s="23"/>
    </row>
    <row r="77" spans="11:13" ht="10.5" customHeight="1">
      <c r="K77" s="30"/>
      <c r="M77" s="23"/>
    </row>
  </sheetData>
  <sheetProtection/>
  <printOptions/>
  <pageMargins left="0.7086614173228347" right="0.7086614173228347" top="0.5905511811023623" bottom="0.15748031496062992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74"/>
  <sheetViews>
    <sheetView zoomScalePageLayoutView="0" workbookViewId="0" topLeftCell="A12">
      <selection activeCell="P32" sqref="P32"/>
    </sheetView>
  </sheetViews>
  <sheetFormatPr defaultColWidth="10.421875" defaultRowHeight="12.75"/>
  <cols>
    <col min="1" max="1" width="7.421875" style="4" customWidth="1"/>
    <col min="2" max="2" width="17.421875" style="26" customWidth="1"/>
    <col min="3" max="3" width="6.57421875" style="26" customWidth="1"/>
    <col min="4" max="4" width="18.140625" style="21" customWidth="1"/>
    <col min="5" max="5" width="8.7109375" style="21" customWidth="1"/>
    <col min="6" max="6" width="7.421875" style="27" bestFit="1" customWidth="1"/>
    <col min="7" max="7" width="7.57421875" style="15" customWidth="1"/>
    <col min="8" max="8" width="7.140625" style="15" customWidth="1"/>
    <col min="9" max="9" width="7.7109375" style="28" bestFit="1" customWidth="1"/>
    <col min="10" max="10" width="2.28125" style="29" customWidth="1"/>
    <col min="11" max="11" width="5.421875" style="28" customWidth="1"/>
    <col min="12" max="12" width="6.57421875" style="22" hidden="1" customWidth="1"/>
    <col min="13" max="13" width="10.7109375" style="21" hidden="1" customWidth="1"/>
    <col min="14" max="14" width="10.00390625" style="24" bestFit="1" customWidth="1"/>
    <col min="15" max="15" width="8.00390625" style="24" customWidth="1"/>
    <col min="16" max="16" width="8.57421875" style="24" customWidth="1"/>
    <col min="17" max="16384" width="10.421875" style="21" customWidth="1"/>
  </cols>
  <sheetData>
    <row r="1" spans="1:15" s="4" customFormat="1" ht="12" customHeight="1">
      <c r="A1" s="1" t="s">
        <v>96</v>
      </c>
      <c r="B1" s="2"/>
      <c r="C1" s="2"/>
      <c r="D1" s="3"/>
      <c r="F1" s="5"/>
      <c r="I1" s="6"/>
      <c r="J1" s="7"/>
      <c r="K1" s="8"/>
      <c r="M1" s="9" t="s">
        <v>0</v>
      </c>
      <c r="O1" s="10"/>
    </row>
    <row r="2" spans="1:15" s="4" customFormat="1" ht="12" customHeight="1">
      <c r="A2" s="1"/>
      <c r="B2" s="2"/>
      <c r="C2" s="2"/>
      <c r="D2" s="3"/>
      <c r="F2" s="5"/>
      <c r="I2" s="6"/>
      <c r="J2" s="7"/>
      <c r="K2" s="8"/>
      <c r="M2" s="9"/>
      <c r="O2" s="10"/>
    </row>
    <row r="3" spans="1:17" s="4" customFormat="1" ht="56.25">
      <c r="A3" s="11" t="s">
        <v>22</v>
      </c>
      <c r="B3" s="3" t="s">
        <v>3</v>
      </c>
      <c r="C3" s="3" t="s">
        <v>2</v>
      </c>
      <c r="D3" s="10" t="s">
        <v>4</v>
      </c>
      <c r="E3" s="10" t="s">
        <v>5</v>
      </c>
      <c r="F3" s="12" t="s">
        <v>6</v>
      </c>
      <c r="G3" s="13" t="s">
        <v>7</v>
      </c>
      <c r="H3" s="13" t="s">
        <v>8</v>
      </c>
      <c r="I3" s="14" t="s">
        <v>32</v>
      </c>
      <c r="J3" s="15"/>
      <c r="K3" s="13" t="s">
        <v>20</v>
      </c>
      <c r="L3" s="13"/>
      <c r="M3" s="9"/>
      <c r="N3" s="16" t="s">
        <v>9</v>
      </c>
      <c r="O3" s="17" t="s">
        <v>10</v>
      </c>
      <c r="P3" s="16" t="s">
        <v>11</v>
      </c>
      <c r="Q3" s="18"/>
    </row>
    <row r="4" spans="1:17" s="4" customFormat="1" ht="12.75">
      <c r="A4" s="11"/>
      <c r="B4" s="3"/>
      <c r="C4" s="3"/>
      <c r="D4" s="10"/>
      <c r="E4" s="10"/>
      <c r="F4" s="12"/>
      <c r="G4" s="13"/>
      <c r="H4" s="13"/>
      <c r="I4" s="14"/>
      <c r="J4" s="15"/>
      <c r="K4" s="13"/>
      <c r="L4" s="13"/>
      <c r="M4" s="9"/>
      <c r="N4" s="16"/>
      <c r="O4" s="17"/>
      <c r="P4" s="16"/>
      <c r="Q4" s="18"/>
    </row>
    <row r="5" spans="1:18" s="38" customFormat="1" ht="10.5" customHeight="1">
      <c r="A5" s="4" t="s">
        <v>55</v>
      </c>
      <c r="B5" s="37" t="s">
        <v>26</v>
      </c>
      <c r="C5" s="37" t="s">
        <v>82</v>
      </c>
      <c r="D5" s="37" t="s">
        <v>1</v>
      </c>
      <c r="E5" s="21" t="s">
        <v>91</v>
      </c>
      <c r="F5" s="15">
        <f>568864+10000+5340+12000+12000+5160+3100+9100+7166+4500+19700+1400+11646</f>
        <v>669976</v>
      </c>
      <c r="G5" s="22">
        <f>F5-(F5/1.12)</f>
        <v>71783.14285714296</v>
      </c>
      <c r="H5" s="22">
        <f aca="true" t="shared" si="0" ref="H5:H14">J5*132</f>
        <v>0</v>
      </c>
      <c r="I5" s="7">
        <f aca="true" t="shared" si="1" ref="I5:I11">F5/12</f>
        <v>55831.333333333336</v>
      </c>
      <c r="J5" s="29">
        <v>0</v>
      </c>
      <c r="K5" s="29">
        <v>0</v>
      </c>
      <c r="L5" s="22">
        <f aca="true" t="shared" si="2" ref="L5:L12">J5*146</f>
        <v>0</v>
      </c>
      <c r="M5" s="23">
        <f aca="true" t="shared" si="3" ref="M5:M14">(F5-L5)/12</f>
        <v>55831.333333333336</v>
      </c>
      <c r="N5" s="24">
        <f aca="true" t="shared" si="4" ref="N5:N14">F5/1752</f>
        <v>382.4063926940639</v>
      </c>
      <c r="O5" s="24">
        <f aca="true" t="shared" si="5" ref="O5:O12">N5*1.65</f>
        <v>630.9705479452055</v>
      </c>
      <c r="P5" s="24">
        <f>(F5-(874*146))/1950</f>
        <v>278.13948717948716</v>
      </c>
      <c r="Q5" s="21"/>
      <c r="R5" s="21"/>
    </row>
    <row r="6" spans="1:18" s="38" customFormat="1" ht="10.5" customHeight="1">
      <c r="A6" s="4" t="s">
        <v>56</v>
      </c>
      <c r="B6" s="3" t="s">
        <v>79</v>
      </c>
      <c r="C6" s="4" t="s">
        <v>78</v>
      </c>
      <c r="D6" s="3" t="s">
        <v>77</v>
      </c>
      <c r="E6" s="21"/>
      <c r="F6" s="15">
        <f>584808+10000+5340+12000+12000+5160+3100+9100+7166+4500+19700+1400+11646</f>
        <v>685920</v>
      </c>
      <c r="G6" s="22">
        <f>F6-(F6/1.12)</f>
        <v>73491.42857142864</v>
      </c>
      <c r="H6" s="22">
        <f t="shared" si="0"/>
        <v>0</v>
      </c>
      <c r="I6" s="7">
        <f t="shared" si="1"/>
        <v>57160</v>
      </c>
      <c r="J6" s="29">
        <v>0</v>
      </c>
      <c r="K6" s="29">
        <v>0</v>
      </c>
      <c r="L6" s="22">
        <f t="shared" si="2"/>
        <v>0</v>
      </c>
      <c r="M6" s="23">
        <f t="shared" si="3"/>
        <v>57160</v>
      </c>
      <c r="N6" s="24">
        <f t="shared" si="4"/>
        <v>391.5068493150685</v>
      </c>
      <c r="O6" s="24">
        <f t="shared" si="5"/>
        <v>645.986301369863</v>
      </c>
      <c r="P6" s="24">
        <f>(F6-(874*146))/1950</f>
        <v>286.31589743589745</v>
      </c>
      <c r="Q6" s="21"/>
      <c r="R6" s="21"/>
    </row>
    <row r="7" spans="1:18" s="38" customFormat="1" ht="10.5" customHeight="1">
      <c r="A7" s="4" t="s">
        <v>57</v>
      </c>
      <c r="B7" s="26"/>
      <c r="C7" s="21"/>
      <c r="F7" s="15">
        <f>656978+19700+1400+11646</f>
        <v>689724</v>
      </c>
      <c r="G7" s="22">
        <f aca="true" t="shared" si="6" ref="G7:G14">F7-(F7/1.12)</f>
        <v>73899.00000000012</v>
      </c>
      <c r="H7" s="22">
        <f t="shared" si="0"/>
        <v>0</v>
      </c>
      <c r="I7" s="7">
        <f>F7/12</f>
        <v>57477</v>
      </c>
      <c r="J7" s="29">
        <v>0</v>
      </c>
      <c r="K7" s="29">
        <v>0</v>
      </c>
      <c r="L7" s="22">
        <f>J7*146</f>
        <v>0</v>
      </c>
      <c r="M7" s="23">
        <f t="shared" si="3"/>
        <v>57477</v>
      </c>
      <c r="N7" s="24">
        <f t="shared" si="4"/>
        <v>393.67808219178085</v>
      </c>
      <c r="O7" s="24">
        <f>N7*1.65</f>
        <v>649.5688356164384</v>
      </c>
      <c r="P7" s="24">
        <f aca="true" t="shared" si="7" ref="P7:P35">(F7-(874*146))/1950</f>
        <v>288.26666666666665</v>
      </c>
      <c r="Q7" s="21"/>
      <c r="R7" s="21"/>
    </row>
    <row r="8" spans="1:18" s="38" customFormat="1" ht="10.5" customHeight="1">
      <c r="A8" s="4" t="s">
        <v>58</v>
      </c>
      <c r="B8" s="26"/>
      <c r="C8" s="21"/>
      <c r="F8" s="15">
        <f>661978+19700+1400+11646</f>
        <v>694724</v>
      </c>
      <c r="G8" s="22">
        <f t="shared" si="6"/>
        <v>74434.71428571432</v>
      </c>
      <c r="H8" s="22">
        <f t="shared" si="0"/>
        <v>0</v>
      </c>
      <c r="I8" s="7">
        <f>F8/12</f>
        <v>57893.666666666664</v>
      </c>
      <c r="J8" s="29">
        <v>0</v>
      </c>
      <c r="K8" s="29">
        <v>0</v>
      </c>
      <c r="L8" s="22">
        <f>J8*146</f>
        <v>0</v>
      </c>
      <c r="M8" s="23">
        <f t="shared" si="3"/>
        <v>57893.666666666664</v>
      </c>
      <c r="N8" s="24">
        <f t="shared" si="4"/>
        <v>396.5319634703196</v>
      </c>
      <c r="O8" s="24">
        <f>N8*1.65</f>
        <v>654.2777397260273</v>
      </c>
      <c r="P8" s="24">
        <f t="shared" si="7"/>
        <v>290.83076923076925</v>
      </c>
      <c r="Q8" s="21"/>
      <c r="R8" s="21"/>
    </row>
    <row r="9" spans="1:18" s="38" customFormat="1" ht="10.5" customHeight="1">
      <c r="A9" s="4" t="s">
        <v>59</v>
      </c>
      <c r="B9" s="26"/>
      <c r="C9" s="21"/>
      <c r="F9" s="15">
        <f>666978+19700+1400+11646</f>
        <v>699724</v>
      </c>
      <c r="G9" s="22">
        <f t="shared" si="6"/>
        <v>74970.42857142864</v>
      </c>
      <c r="H9" s="22">
        <f t="shared" si="0"/>
        <v>0</v>
      </c>
      <c r="I9" s="7">
        <f>F9/12</f>
        <v>58310.333333333336</v>
      </c>
      <c r="J9" s="29">
        <v>0</v>
      </c>
      <c r="K9" s="29">
        <v>0</v>
      </c>
      <c r="L9" s="22">
        <f>J9*146</f>
        <v>0</v>
      </c>
      <c r="M9" s="23">
        <f t="shared" si="3"/>
        <v>58310.333333333336</v>
      </c>
      <c r="N9" s="24">
        <f t="shared" si="4"/>
        <v>399.38584474885846</v>
      </c>
      <c r="O9" s="24">
        <f>N9*1.65</f>
        <v>658.9866438356164</v>
      </c>
      <c r="P9" s="24">
        <f t="shared" si="7"/>
        <v>293.3948717948718</v>
      </c>
      <c r="Q9" s="21"/>
      <c r="R9" s="21"/>
    </row>
    <row r="10" spans="1:18" s="38" customFormat="1" ht="10.5" customHeight="1">
      <c r="A10" s="4" t="s">
        <v>60</v>
      </c>
      <c r="B10" s="26"/>
      <c r="C10" s="21"/>
      <c r="F10" s="15">
        <f>671978+19700+1400+11646</f>
        <v>704724</v>
      </c>
      <c r="G10" s="22">
        <f t="shared" si="6"/>
        <v>75506.14285714296</v>
      </c>
      <c r="H10" s="22">
        <f t="shared" si="0"/>
        <v>0</v>
      </c>
      <c r="I10" s="7">
        <f>F10/12</f>
        <v>58727</v>
      </c>
      <c r="J10" s="29">
        <v>0</v>
      </c>
      <c r="K10" s="29">
        <v>0</v>
      </c>
      <c r="L10" s="22">
        <f>J10*146</f>
        <v>0</v>
      </c>
      <c r="M10" s="23">
        <f t="shared" si="3"/>
        <v>58727</v>
      </c>
      <c r="N10" s="24">
        <f t="shared" si="4"/>
        <v>402.23972602739724</v>
      </c>
      <c r="O10" s="24">
        <f>N10*1.65</f>
        <v>663.6955479452054</v>
      </c>
      <c r="P10" s="24">
        <f t="shared" si="7"/>
        <v>295.95897435897433</v>
      </c>
      <c r="Q10" s="21"/>
      <c r="R10" s="21"/>
    </row>
    <row r="11" spans="1:18" s="38" customFormat="1" ht="10.5" customHeight="1">
      <c r="A11" s="4" t="s">
        <v>61</v>
      </c>
      <c r="B11" s="26"/>
      <c r="C11" s="21"/>
      <c r="F11" s="15">
        <f>676978+19700+1400+11646</f>
        <v>709724</v>
      </c>
      <c r="G11" s="22">
        <f t="shared" si="6"/>
        <v>76041.85714285716</v>
      </c>
      <c r="H11" s="22">
        <f t="shared" si="0"/>
        <v>0</v>
      </c>
      <c r="I11" s="7">
        <f t="shared" si="1"/>
        <v>59143.666666666664</v>
      </c>
      <c r="J11" s="29">
        <v>0</v>
      </c>
      <c r="K11" s="29">
        <v>0</v>
      </c>
      <c r="L11" s="22">
        <f t="shared" si="2"/>
        <v>0</v>
      </c>
      <c r="M11" s="23">
        <f t="shared" si="3"/>
        <v>59143.666666666664</v>
      </c>
      <c r="N11" s="24">
        <f t="shared" si="4"/>
        <v>405.0936073059361</v>
      </c>
      <c r="O11" s="24">
        <f t="shared" si="5"/>
        <v>668.4044520547944</v>
      </c>
      <c r="P11" s="24">
        <f t="shared" si="7"/>
        <v>298.5230769230769</v>
      </c>
      <c r="Q11" s="21"/>
      <c r="R11" s="21"/>
    </row>
    <row r="12" spans="1:18" s="38" customFormat="1" ht="10.5" customHeight="1">
      <c r="A12" s="4" t="s">
        <v>62</v>
      </c>
      <c r="B12" s="26"/>
      <c r="C12" s="21"/>
      <c r="F12" s="15">
        <f>681978+19700+1400+11646</f>
        <v>714724</v>
      </c>
      <c r="G12" s="22">
        <f t="shared" si="6"/>
        <v>76577.57142857148</v>
      </c>
      <c r="H12" s="22">
        <f t="shared" si="0"/>
        <v>0</v>
      </c>
      <c r="I12" s="7">
        <f>F12/12</f>
        <v>59560.333333333336</v>
      </c>
      <c r="J12" s="29">
        <v>0</v>
      </c>
      <c r="K12" s="29">
        <v>0</v>
      </c>
      <c r="L12" s="22">
        <f t="shared" si="2"/>
        <v>0</v>
      </c>
      <c r="M12" s="23">
        <f t="shared" si="3"/>
        <v>59560.333333333336</v>
      </c>
      <c r="N12" s="24">
        <f t="shared" si="4"/>
        <v>407.9474885844749</v>
      </c>
      <c r="O12" s="24">
        <f t="shared" si="5"/>
        <v>673.1133561643836</v>
      </c>
      <c r="P12" s="24">
        <f t="shared" si="7"/>
        <v>301.08717948717947</v>
      </c>
      <c r="Q12" s="21"/>
      <c r="R12" s="21"/>
    </row>
    <row r="13" spans="1:18" s="38" customFormat="1" ht="10.5" customHeight="1">
      <c r="A13" s="4" t="s">
        <v>63</v>
      </c>
      <c r="B13" s="26"/>
      <c r="C13" s="21"/>
      <c r="F13" s="15">
        <f>686978+19700+1400+11646</f>
        <v>719724</v>
      </c>
      <c r="G13" s="22">
        <f t="shared" si="6"/>
        <v>77113.2857142858</v>
      </c>
      <c r="H13" s="22">
        <f t="shared" si="0"/>
        <v>0</v>
      </c>
      <c r="I13" s="7">
        <f>F13/12</f>
        <v>59977</v>
      </c>
      <c r="J13" s="29">
        <v>0</v>
      </c>
      <c r="K13" s="29">
        <v>0</v>
      </c>
      <c r="L13" s="22">
        <f>J13*146</f>
        <v>0</v>
      </c>
      <c r="M13" s="23">
        <f t="shared" si="3"/>
        <v>59977</v>
      </c>
      <c r="N13" s="24">
        <f t="shared" si="4"/>
        <v>410.8013698630137</v>
      </c>
      <c r="O13" s="24">
        <f>N13*1.65</f>
        <v>677.8222602739726</v>
      </c>
      <c r="P13" s="24">
        <f t="shared" si="7"/>
        <v>303.65128205128207</v>
      </c>
      <c r="Q13" s="21"/>
      <c r="R13" s="21"/>
    </row>
    <row r="14" spans="1:18" s="38" customFormat="1" ht="10.5" customHeight="1">
      <c r="A14" s="4" t="s">
        <v>64</v>
      </c>
      <c r="B14" s="26"/>
      <c r="C14" s="21"/>
      <c r="F14" s="15">
        <f>691978+19700+1400+11646</f>
        <v>724724</v>
      </c>
      <c r="G14" s="22">
        <f t="shared" si="6"/>
        <v>77649.00000000012</v>
      </c>
      <c r="H14" s="22">
        <f t="shared" si="0"/>
        <v>0</v>
      </c>
      <c r="I14" s="7">
        <f>F14/12</f>
        <v>60393.666666666664</v>
      </c>
      <c r="J14" s="29">
        <v>0</v>
      </c>
      <c r="K14" s="29">
        <v>0</v>
      </c>
      <c r="L14" s="22">
        <f>J14*146</f>
        <v>0</v>
      </c>
      <c r="M14" s="23">
        <f t="shared" si="3"/>
        <v>60393.666666666664</v>
      </c>
      <c r="N14" s="24">
        <f t="shared" si="4"/>
        <v>413.6552511415525</v>
      </c>
      <c r="O14" s="24">
        <f>N14*1.65</f>
        <v>682.5311643835616</v>
      </c>
      <c r="P14" s="24">
        <f t="shared" si="7"/>
        <v>306.2153846153846</v>
      </c>
      <c r="Q14" s="21"/>
      <c r="R14" s="21"/>
    </row>
    <row r="15" spans="1:16" s="4" customFormat="1" ht="11.25">
      <c r="A15" s="19"/>
      <c r="B15" s="3"/>
      <c r="C15" s="3"/>
      <c r="D15" s="10"/>
      <c r="E15" s="10"/>
      <c r="F15" s="12"/>
      <c r="G15" s="13"/>
      <c r="H15" s="13"/>
      <c r="I15" s="14"/>
      <c r="J15" s="15"/>
      <c r="K15" s="14"/>
      <c r="L15" s="13"/>
      <c r="M15" s="9"/>
      <c r="N15" s="16"/>
      <c r="O15" s="17"/>
      <c r="P15" s="24"/>
    </row>
    <row r="16" spans="1:17" ht="10.5" customHeight="1">
      <c r="A16" s="4" t="s">
        <v>14</v>
      </c>
      <c r="B16" s="37" t="s">
        <v>35</v>
      </c>
      <c r="C16" s="37" t="s">
        <v>83</v>
      </c>
      <c r="D16" s="37" t="s">
        <v>31</v>
      </c>
      <c r="E16" s="21" t="s">
        <v>91</v>
      </c>
      <c r="F16" s="15">
        <f>623965+5160+3100+9100+7166+4500+19700+1400+11646</f>
        <v>685737</v>
      </c>
      <c r="G16" s="22">
        <f aca="true" t="shared" si="8" ref="G16:G22">F16-(F16/1.12)</f>
        <v>73471.82142857148</v>
      </c>
      <c r="H16" s="22">
        <f aca="true" t="shared" si="9" ref="H16:H22">K16*132</f>
        <v>0</v>
      </c>
      <c r="I16" s="7">
        <f aca="true" t="shared" si="10" ref="I16:I22">F16/12</f>
        <v>57144.75</v>
      </c>
      <c r="J16" s="7"/>
      <c r="K16" s="7">
        <v>0</v>
      </c>
      <c r="L16" s="22">
        <f aca="true" t="shared" si="11" ref="L16:L22">K16*146</f>
        <v>0</v>
      </c>
      <c r="M16" s="23">
        <f aca="true" t="shared" si="12" ref="M16:M22">(F16-L16)/12</f>
        <v>57144.75</v>
      </c>
      <c r="N16" s="24">
        <f aca="true" t="shared" si="13" ref="N16:N22">F16/1752</f>
        <v>391.402397260274</v>
      </c>
      <c r="O16" s="24">
        <f aca="true" t="shared" si="14" ref="O16:O22">N16*1.65</f>
        <v>645.813955479452</v>
      </c>
      <c r="P16" s="24">
        <f t="shared" si="7"/>
        <v>286.22205128205127</v>
      </c>
      <c r="Q16" s="25"/>
    </row>
    <row r="17" spans="1:17" ht="10.5" customHeight="1">
      <c r="A17" s="4" t="s">
        <v>15</v>
      </c>
      <c r="B17" s="3" t="s">
        <v>80</v>
      </c>
      <c r="C17" s="4" t="s">
        <v>84</v>
      </c>
      <c r="D17" s="37" t="s">
        <v>81</v>
      </c>
      <c r="F17" s="15">
        <f>640371+5160+3100+9100+7166+4500+19700+1400+11646</f>
        <v>702143</v>
      </c>
      <c r="G17" s="22">
        <f t="shared" si="8"/>
        <v>75229.60714285716</v>
      </c>
      <c r="H17" s="22">
        <f t="shared" si="9"/>
        <v>0</v>
      </c>
      <c r="I17" s="7">
        <f t="shared" si="10"/>
        <v>58511.916666666664</v>
      </c>
      <c r="J17" s="7"/>
      <c r="K17" s="7">
        <v>0</v>
      </c>
      <c r="L17" s="22">
        <f t="shared" si="11"/>
        <v>0</v>
      </c>
      <c r="M17" s="23">
        <f t="shared" si="12"/>
        <v>58511.916666666664</v>
      </c>
      <c r="N17" s="24">
        <f t="shared" si="13"/>
        <v>400.7665525114155</v>
      </c>
      <c r="O17" s="24">
        <f t="shared" si="14"/>
        <v>661.2648116438355</v>
      </c>
      <c r="P17" s="24">
        <f t="shared" si="7"/>
        <v>294.6353846153846</v>
      </c>
      <c r="Q17" s="25"/>
    </row>
    <row r="18" spans="1:17" ht="10.5" customHeight="1">
      <c r="A18" s="4" t="s">
        <v>16</v>
      </c>
      <c r="F18" s="15">
        <f>675745+19700+1400+11646</f>
        <v>708491</v>
      </c>
      <c r="G18" s="22">
        <f t="shared" si="8"/>
        <v>75909.75000000012</v>
      </c>
      <c r="H18" s="22">
        <f t="shared" si="9"/>
        <v>0</v>
      </c>
      <c r="I18" s="7">
        <f t="shared" si="10"/>
        <v>59040.916666666664</v>
      </c>
      <c r="J18" s="7"/>
      <c r="K18" s="7">
        <v>0</v>
      </c>
      <c r="L18" s="22">
        <f t="shared" si="11"/>
        <v>0</v>
      </c>
      <c r="M18" s="23">
        <f t="shared" si="12"/>
        <v>59040.916666666664</v>
      </c>
      <c r="N18" s="24">
        <f t="shared" si="13"/>
        <v>404.3898401826484</v>
      </c>
      <c r="O18" s="24">
        <f t="shared" si="14"/>
        <v>667.2432363013698</v>
      </c>
      <c r="P18" s="24">
        <f t="shared" si="7"/>
        <v>297.89076923076925</v>
      </c>
      <c r="Q18" s="25"/>
    </row>
    <row r="19" spans="1:17" ht="10.5" customHeight="1">
      <c r="A19" s="4" t="s">
        <v>17</v>
      </c>
      <c r="F19" s="15">
        <f>680745+19700+1400+11646</f>
        <v>713491</v>
      </c>
      <c r="G19" s="22">
        <f t="shared" si="8"/>
        <v>76445.46428571432</v>
      </c>
      <c r="H19" s="22">
        <f t="shared" si="9"/>
        <v>0</v>
      </c>
      <c r="I19" s="7">
        <f t="shared" si="10"/>
        <v>59457.583333333336</v>
      </c>
      <c r="J19" s="7"/>
      <c r="K19" s="7">
        <v>0</v>
      </c>
      <c r="L19" s="22">
        <f t="shared" si="11"/>
        <v>0</v>
      </c>
      <c r="M19" s="23">
        <f t="shared" si="12"/>
        <v>59457.583333333336</v>
      </c>
      <c r="N19" s="24">
        <f t="shared" si="13"/>
        <v>407.2437214611872</v>
      </c>
      <c r="O19" s="24">
        <f t="shared" si="14"/>
        <v>671.9521404109588</v>
      </c>
      <c r="P19" s="24">
        <f t="shared" si="7"/>
        <v>300.4548717948718</v>
      </c>
      <c r="Q19" s="25"/>
    </row>
    <row r="20" spans="1:17" ht="10.5" customHeight="1">
      <c r="A20" s="4" t="s">
        <v>18</v>
      </c>
      <c r="F20" s="15">
        <f>685745+19700+1400+11646</f>
        <v>718491</v>
      </c>
      <c r="G20" s="22">
        <f t="shared" si="8"/>
        <v>76981.17857142864</v>
      </c>
      <c r="H20" s="22">
        <f t="shared" si="9"/>
        <v>0</v>
      </c>
      <c r="I20" s="7">
        <f t="shared" si="10"/>
        <v>59874.25</v>
      </c>
      <c r="J20" s="7"/>
      <c r="K20" s="7">
        <v>0</v>
      </c>
      <c r="L20" s="22">
        <f t="shared" si="11"/>
        <v>0</v>
      </c>
      <c r="M20" s="23">
        <f t="shared" si="12"/>
        <v>59874.25</v>
      </c>
      <c r="N20" s="24">
        <f t="shared" si="13"/>
        <v>410.097602739726</v>
      </c>
      <c r="O20" s="24">
        <f t="shared" si="14"/>
        <v>676.6610445205479</v>
      </c>
      <c r="P20" s="24">
        <f t="shared" si="7"/>
        <v>303.01897435897433</v>
      </c>
      <c r="Q20" s="25"/>
    </row>
    <row r="21" spans="1:17" ht="10.5" customHeight="1">
      <c r="A21" s="4" t="s">
        <v>19</v>
      </c>
      <c r="F21" s="15">
        <f>690745+19700+1400+11646</f>
        <v>723491</v>
      </c>
      <c r="G21" s="22">
        <f t="shared" si="8"/>
        <v>77516.89285714296</v>
      </c>
      <c r="H21" s="22">
        <f t="shared" si="9"/>
        <v>0</v>
      </c>
      <c r="I21" s="7">
        <f t="shared" si="10"/>
        <v>60290.916666666664</v>
      </c>
      <c r="J21" s="7"/>
      <c r="K21" s="7">
        <v>0</v>
      </c>
      <c r="L21" s="22">
        <f t="shared" si="11"/>
        <v>0</v>
      </c>
      <c r="M21" s="23">
        <f t="shared" si="12"/>
        <v>60290.916666666664</v>
      </c>
      <c r="N21" s="24">
        <f t="shared" si="13"/>
        <v>412.95148401826486</v>
      </c>
      <c r="O21" s="24">
        <f t="shared" si="14"/>
        <v>681.369948630137</v>
      </c>
      <c r="P21" s="24">
        <f t="shared" si="7"/>
        <v>305.58307692307693</v>
      </c>
      <c r="Q21" s="25"/>
    </row>
    <row r="22" spans="1:16" ht="10.5" customHeight="1">
      <c r="A22" s="4" t="s">
        <v>23</v>
      </c>
      <c r="F22" s="15">
        <f>695745+19700+1400+11646</f>
        <v>728491</v>
      </c>
      <c r="G22" s="22">
        <f t="shared" si="8"/>
        <v>78052.60714285716</v>
      </c>
      <c r="H22" s="22">
        <f t="shared" si="9"/>
        <v>0</v>
      </c>
      <c r="I22" s="7">
        <f t="shared" si="10"/>
        <v>60707.583333333336</v>
      </c>
      <c r="J22" s="7"/>
      <c r="K22" s="7">
        <v>0</v>
      </c>
      <c r="L22" s="22">
        <f t="shared" si="11"/>
        <v>0</v>
      </c>
      <c r="M22" s="23">
        <f t="shared" si="12"/>
        <v>60707.583333333336</v>
      </c>
      <c r="N22" s="24">
        <f t="shared" si="13"/>
        <v>415.80536529680364</v>
      </c>
      <c r="O22" s="24">
        <f t="shared" si="14"/>
        <v>686.078852739726</v>
      </c>
      <c r="P22" s="24">
        <f t="shared" si="7"/>
        <v>308.14717948717947</v>
      </c>
    </row>
    <row r="23" spans="1:16" ht="10.5" customHeight="1">
      <c r="A23" s="4" t="s">
        <v>37</v>
      </c>
      <c r="F23" s="15">
        <f>700745+19700+1400+11646</f>
        <v>733491</v>
      </c>
      <c r="G23" s="22">
        <f>F23-(F23/1.12)</f>
        <v>78588.32142857148</v>
      </c>
      <c r="H23" s="22">
        <f>K23*132</f>
        <v>0</v>
      </c>
      <c r="I23" s="7">
        <f>F23/12</f>
        <v>61124.25</v>
      </c>
      <c r="J23" s="7"/>
      <c r="K23" s="7">
        <v>0</v>
      </c>
      <c r="L23" s="22">
        <f>K23*146</f>
        <v>0</v>
      </c>
      <c r="M23" s="23">
        <f>(F23-L23)/12</f>
        <v>61124.25</v>
      </c>
      <c r="N23" s="24">
        <f>F23/1752</f>
        <v>418.6592465753425</v>
      </c>
      <c r="O23" s="24">
        <f>N23*1.65</f>
        <v>690.7877568493151</v>
      </c>
      <c r="P23" s="24">
        <f t="shared" si="7"/>
        <v>310.71128205128207</v>
      </c>
    </row>
    <row r="24" spans="1:16" ht="10.5" customHeight="1">
      <c r="A24" s="4" t="s">
        <v>49</v>
      </c>
      <c r="F24" s="15">
        <f>705745+19700+1400+11646</f>
        <v>738491</v>
      </c>
      <c r="G24" s="22">
        <f>F24-(F24/1.12)</f>
        <v>79124.0357142858</v>
      </c>
      <c r="H24" s="22">
        <f>K24*132</f>
        <v>0</v>
      </c>
      <c r="I24" s="7">
        <f>F24/12</f>
        <v>61540.916666666664</v>
      </c>
      <c r="J24" s="7"/>
      <c r="K24" s="7">
        <v>0</v>
      </c>
      <c r="L24" s="22">
        <f>K24*146</f>
        <v>0</v>
      </c>
      <c r="M24" s="23">
        <f>(F24-L24)/12</f>
        <v>61540.916666666664</v>
      </c>
      <c r="N24" s="24">
        <f>F24/1752</f>
        <v>421.51312785388126</v>
      </c>
      <c r="O24" s="24">
        <f>N24*1.65</f>
        <v>695.496660958904</v>
      </c>
      <c r="P24" s="24">
        <f t="shared" si="7"/>
        <v>313.2753846153846</v>
      </c>
    </row>
    <row r="25" spans="1:16" ht="10.5" customHeight="1">
      <c r="A25" s="4" t="s">
        <v>52</v>
      </c>
      <c r="F25" s="15">
        <f>706245+4500+19700+1400+11646</f>
        <v>743491</v>
      </c>
      <c r="G25" s="22">
        <f>F25-(F25/1.12)</f>
        <v>79659.75000000012</v>
      </c>
      <c r="H25" s="22">
        <f>K25*132</f>
        <v>0</v>
      </c>
      <c r="I25" s="7">
        <f>F25/12</f>
        <v>61957.583333333336</v>
      </c>
      <c r="J25" s="7"/>
      <c r="K25" s="7">
        <v>0</v>
      </c>
      <c r="L25" s="22">
        <f>K25*146</f>
        <v>0</v>
      </c>
      <c r="M25" s="23">
        <f>(F25-L25)/12</f>
        <v>61957.583333333336</v>
      </c>
      <c r="N25" s="24">
        <f>F25/1752</f>
        <v>424.3670091324201</v>
      </c>
      <c r="O25" s="24">
        <f>N25*1.65</f>
        <v>700.2055650684931</v>
      </c>
      <c r="P25" s="24">
        <f t="shared" si="7"/>
        <v>315.8394871794872</v>
      </c>
    </row>
    <row r="26" ht="10.5" customHeight="1">
      <c r="M26" s="23"/>
    </row>
    <row r="27" spans="1:18" s="38" customFormat="1" ht="10.5" customHeight="1">
      <c r="A27" s="4" t="s">
        <v>68</v>
      </c>
      <c r="B27" s="3" t="s">
        <v>86</v>
      </c>
      <c r="C27" s="4" t="s">
        <v>85</v>
      </c>
      <c r="D27" s="37" t="s">
        <v>87</v>
      </c>
      <c r="E27" s="21" t="s">
        <v>91</v>
      </c>
      <c r="F27" s="15">
        <f>664342+5160+3100+9100+7166+4500+19700+1400+11646</f>
        <v>726114</v>
      </c>
      <c r="G27" s="22">
        <f aca="true" t="shared" si="15" ref="G27:G35">F27-(F27/1.12)</f>
        <v>77797.92857142864</v>
      </c>
      <c r="H27" s="22">
        <f aca="true" t="shared" si="16" ref="H27:H33">K27*132</f>
        <v>0</v>
      </c>
      <c r="I27" s="7">
        <f aca="true" t="shared" si="17" ref="I27:I35">F27/12</f>
        <v>60509.5</v>
      </c>
      <c r="J27" s="29"/>
      <c r="K27" s="7">
        <v>0</v>
      </c>
      <c r="L27" s="29">
        <v>0</v>
      </c>
      <c r="M27" s="29">
        <f aca="true" t="shared" si="18" ref="M27:M35">892+14+9</f>
        <v>915</v>
      </c>
      <c r="N27" s="24">
        <f aca="true" t="shared" si="19" ref="N27:N35">F27/1752</f>
        <v>414.4486301369863</v>
      </c>
      <c r="O27" s="24">
        <f aca="true" t="shared" si="20" ref="O27:O35">N27*1.65</f>
        <v>683.8402397260273</v>
      </c>
      <c r="P27" s="24">
        <f t="shared" si="7"/>
        <v>306.92820512820515</v>
      </c>
      <c r="R27" s="21"/>
    </row>
    <row r="28" spans="1:18" s="38" customFormat="1" ht="10.5" customHeight="1">
      <c r="A28" s="4" t="s">
        <v>69</v>
      </c>
      <c r="B28" s="26"/>
      <c r="C28" s="21"/>
      <c r="D28" s="20" t="s">
        <v>94</v>
      </c>
      <c r="F28" s="15">
        <f>703562+19700+1400+11646</f>
        <v>736308</v>
      </c>
      <c r="G28" s="22">
        <f t="shared" si="15"/>
        <v>78890.14285714296</v>
      </c>
      <c r="H28" s="22">
        <f t="shared" si="16"/>
        <v>0</v>
      </c>
      <c r="I28" s="7">
        <f t="shared" si="17"/>
        <v>61359</v>
      </c>
      <c r="J28" s="29"/>
      <c r="K28" s="7">
        <v>0</v>
      </c>
      <c r="L28" s="29">
        <v>0</v>
      </c>
      <c r="M28" s="29">
        <f t="shared" si="18"/>
        <v>915</v>
      </c>
      <c r="N28" s="24">
        <f t="shared" si="19"/>
        <v>420.2671232876712</v>
      </c>
      <c r="O28" s="24">
        <f t="shared" si="20"/>
        <v>693.4407534246575</v>
      </c>
      <c r="P28" s="24">
        <f t="shared" si="7"/>
        <v>312.15589743589743</v>
      </c>
      <c r="R28" s="21"/>
    </row>
    <row r="29" spans="1:18" s="38" customFormat="1" ht="10.5" customHeight="1">
      <c r="A29" s="4" t="s">
        <v>70</v>
      </c>
      <c r="F29" s="15">
        <f>708562+19700+1400+11646</f>
        <v>741308</v>
      </c>
      <c r="G29" s="22">
        <f t="shared" si="15"/>
        <v>79425.85714285716</v>
      </c>
      <c r="H29" s="22">
        <f t="shared" si="16"/>
        <v>0</v>
      </c>
      <c r="I29" s="7">
        <f t="shared" si="17"/>
        <v>61775.666666666664</v>
      </c>
      <c r="J29" s="29"/>
      <c r="K29" s="7">
        <v>0</v>
      </c>
      <c r="L29" s="29">
        <v>0</v>
      </c>
      <c r="M29" s="29">
        <f t="shared" si="18"/>
        <v>915</v>
      </c>
      <c r="N29" s="24">
        <f t="shared" si="19"/>
        <v>423.12100456621005</v>
      </c>
      <c r="O29" s="24">
        <f t="shared" si="20"/>
        <v>698.1496575342466</v>
      </c>
      <c r="P29" s="24">
        <f t="shared" si="7"/>
        <v>314.72</v>
      </c>
      <c r="R29" s="21"/>
    </row>
    <row r="30" spans="1:18" s="38" customFormat="1" ht="10.5" customHeight="1">
      <c r="A30" s="4" t="s">
        <v>71</v>
      </c>
      <c r="B30" s="39"/>
      <c r="F30" s="15">
        <f>713562+19700+1400+11646</f>
        <v>746308</v>
      </c>
      <c r="G30" s="22">
        <f t="shared" si="15"/>
        <v>79961.57142857148</v>
      </c>
      <c r="H30" s="22">
        <f t="shared" si="16"/>
        <v>0</v>
      </c>
      <c r="I30" s="7">
        <f t="shared" si="17"/>
        <v>62192.333333333336</v>
      </c>
      <c r="J30" s="29"/>
      <c r="K30" s="7">
        <v>0</v>
      </c>
      <c r="L30" s="29">
        <v>0</v>
      </c>
      <c r="M30" s="29">
        <f t="shared" si="18"/>
        <v>915</v>
      </c>
      <c r="N30" s="24">
        <f t="shared" si="19"/>
        <v>425.9748858447489</v>
      </c>
      <c r="O30" s="24">
        <f t="shared" si="20"/>
        <v>702.8585616438356</v>
      </c>
      <c r="P30" s="24">
        <f t="shared" si="7"/>
        <v>317.28410256410257</v>
      </c>
      <c r="R30" s="21"/>
    </row>
    <row r="31" spans="1:18" s="38" customFormat="1" ht="10.5" customHeight="1">
      <c r="A31" s="4" t="s">
        <v>72</v>
      </c>
      <c r="B31" s="39"/>
      <c r="F31" s="15">
        <f>718562+19700+1400+11646</f>
        <v>751308</v>
      </c>
      <c r="G31" s="22">
        <f t="shared" si="15"/>
        <v>80497.2857142858</v>
      </c>
      <c r="H31" s="22">
        <f t="shared" si="16"/>
        <v>0</v>
      </c>
      <c r="I31" s="7">
        <f t="shared" si="17"/>
        <v>62609</v>
      </c>
      <c r="J31" s="29"/>
      <c r="K31" s="7">
        <v>0</v>
      </c>
      <c r="L31" s="29">
        <v>0</v>
      </c>
      <c r="M31" s="29">
        <f t="shared" si="18"/>
        <v>915</v>
      </c>
      <c r="N31" s="24">
        <f t="shared" si="19"/>
        <v>428.82876712328766</v>
      </c>
      <c r="O31" s="24">
        <f t="shared" si="20"/>
        <v>707.5674657534246</v>
      </c>
      <c r="P31" s="24">
        <f t="shared" si="7"/>
        <v>319.8482051282051</v>
      </c>
      <c r="R31" s="21"/>
    </row>
    <row r="32" spans="1:18" s="38" customFormat="1" ht="10.5" customHeight="1">
      <c r="A32" s="4" t="s">
        <v>73</v>
      </c>
      <c r="B32" s="39"/>
      <c r="F32" s="15">
        <f>723562+19700+1400+11646</f>
        <v>756308</v>
      </c>
      <c r="G32" s="22">
        <f t="shared" si="15"/>
        <v>81033.00000000012</v>
      </c>
      <c r="H32" s="22">
        <f t="shared" si="16"/>
        <v>0</v>
      </c>
      <c r="I32" s="7">
        <f t="shared" si="17"/>
        <v>63025.666666666664</v>
      </c>
      <c r="J32" s="29"/>
      <c r="K32" s="7">
        <v>0</v>
      </c>
      <c r="L32" s="29">
        <v>0</v>
      </c>
      <c r="M32" s="29">
        <f t="shared" si="18"/>
        <v>915</v>
      </c>
      <c r="N32" s="24">
        <f t="shared" si="19"/>
        <v>431.6826484018265</v>
      </c>
      <c r="O32" s="24">
        <f t="shared" si="20"/>
        <v>712.2763698630137</v>
      </c>
      <c r="P32" s="24">
        <f t="shared" si="7"/>
        <v>322.4123076923077</v>
      </c>
      <c r="R32" s="21"/>
    </row>
    <row r="33" spans="1:18" s="38" customFormat="1" ht="10.5" customHeight="1">
      <c r="A33" s="4" t="s">
        <v>74</v>
      </c>
      <c r="B33" s="39"/>
      <c r="F33" s="15">
        <f>728562+19700+1400+11646</f>
        <v>761308</v>
      </c>
      <c r="G33" s="22">
        <f t="shared" si="15"/>
        <v>81568.71428571432</v>
      </c>
      <c r="H33" s="22">
        <f t="shared" si="16"/>
        <v>0</v>
      </c>
      <c r="I33" s="7">
        <f t="shared" si="17"/>
        <v>63442.333333333336</v>
      </c>
      <c r="J33" s="29"/>
      <c r="K33" s="7">
        <v>0</v>
      </c>
      <c r="L33" s="29">
        <v>0</v>
      </c>
      <c r="M33" s="29">
        <f t="shared" si="18"/>
        <v>915</v>
      </c>
      <c r="N33" s="24">
        <f t="shared" si="19"/>
        <v>434.5365296803653</v>
      </c>
      <c r="O33" s="24">
        <f t="shared" si="20"/>
        <v>716.9852739726026</v>
      </c>
      <c r="P33" s="24">
        <f t="shared" si="7"/>
        <v>324.97641025641025</v>
      </c>
      <c r="R33" s="21"/>
    </row>
    <row r="34" spans="1:18" s="38" customFormat="1" ht="10.5" customHeight="1">
      <c r="A34" s="4" t="s">
        <v>75</v>
      </c>
      <c r="B34" s="39"/>
      <c r="F34" s="15">
        <f>733562+19700+1400+11646</f>
        <v>766308</v>
      </c>
      <c r="G34" s="22">
        <f t="shared" si="15"/>
        <v>82104.42857142864</v>
      </c>
      <c r="H34" s="22">
        <f>K34*132</f>
        <v>0</v>
      </c>
      <c r="I34" s="7">
        <f t="shared" si="17"/>
        <v>63859</v>
      </c>
      <c r="J34" s="29"/>
      <c r="K34" s="7">
        <v>0</v>
      </c>
      <c r="L34" s="29">
        <v>0</v>
      </c>
      <c r="M34" s="29">
        <f t="shared" si="18"/>
        <v>915</v>
      </c>
      <c r="N34" s="24">
        <f t="shared" si="19"/>
        <v>437.3904109589041</v>
      </c>
      <c r="O34" s="24">
        <f t="shared" si="20"/>
        <v>721.6941780821918</v>
      </c>
      <c r="P34" s="24">
        <f t="shared" si="7"/>
        <v>327.54051282051284</v>
      </c>
      <c r="R34" s="21"/>
    </row>
    <row r="35" spans="1:18" s="38" customFormat="1" ht="10.5" customHeight="1">
      <c r="A35" s="4" t="s">
        <v>76</v>
      </c>
      <c r="B35" s="39"/>
      <c r="F35" s="15">
        <f>738562+19700+1400+11646</f>
        <v>771308</v>
      </c>
      <c r="G35" s="22">
        <f t="shared" si="15"/>
        <v>82640.14285714296</v>
      </c>
      <c r="H35" s="22">
        <f>K35*132</f>
        <v>0</v>
      </c>
      <c r="I35" s="7">
        <f t="shared" si="17"/>
        <v>64275.666666666664</v>
      </c>
      <c r="J35" s="29"/>
      <c r="K35" s="7">
        <v>0</v>
      </c>
      <c r="L35" s="29">
        <v>0</v>
      </c>
      <c r="M35" s="29">
        <f t="shared" si="18"/>
        <v>915</v>
      </c>
      <c r="N35" s="24">
        <f t="shared" si="19"/>
        <v>440.24429223744295</v>
      </c>
      <c r="O35" s="24">
        <f t="shared" si="20"/>
        <v>726.4030821917809</v>
      </c>
      <c r="P35" s="24">
        <f t="shared" si="7"/>
        <v>330.1046153846154</v>
      </c>
      <c r="R35" s="21"/>
    </row>
    <row r="36" spans="1:17" ht="10.5" customHeight="1">
      <c r="A36" s="9"/>
      <c r="F36" s="26"/>
      <c r="G36" s="21"/>
      <c r="I36" s="22"/>
      <c r="J36" s="22"/>
      <c r="K36" s="7"/>
      <c r="L36" s="7"/>
      <c r="M36" s="7"/>
      <c r="N36" s="22"/>
      <c r="O36" s="23"/>
      <c r="Q36" s="24"/>
    </row>
    <row r="37" spans="1:13" ht="10.5" customHeight="1">
      <c r="A37" s="9" t="s">
        <v>88</v>
      </c>
      <c r="B37" s="3" t="s">
        <v>89</v>
      </c>
      <c r="C37" s="4" t="s">
        <v>90</v>
      </c>
      <c r="D37" s="3" t="s">
        <v>92</v>
      </c>
      <c r="E37" s="21" t="s">
        <v>91</v>
      </c>
      <c r="F37" s="15"/>
      <c r="G37" s="22"/>
      <c r="H37" s="22"/>
      <c r="I37" s="7"/>
      <c r="J37" s="7"/>
      <c r="K37" s="7"/>
      <c r="M37" s="23"/>
    </row>
    <row r="38" spans="1:13" ht="10.5" customHeight="1">
      <c r="A38" s="9"/>
      <c r="F38" s="15"/>
      <c r="G38" s="22"/>
      <c r="H38" s="22"/>
      <c r="I38" s="7"/>
      <c r="J38" s="7"/>
      <c r="K38" s="7"/>
      <c r="M38" s="23"/>
    </row>
    <row r="39" spans="1:13" ht="10.5" customHeight="1">
      <c r="A39" s="9"/>
      <c r="F39" s="15"/>
      <c r="G39" s="22"/>
      <c r="H39" s="22"/>
      <c r="I39" s="7"/>
      <c r="J39" s="7"/>
      <c r="K39" s="7"/>
      <c r="M39" s="23"/>
    </row>
    <row r="40" spans="1:13" ht="10.5" customHeight="1">
      <c r="A40" s="9"/>
      <c r="F40" s="15"/>
      <c r="G40" s="22"/>
      <c r="H40" s="22"/>
      <c r="I40" s="7"/>
      <c r="J40" s="7"/>
      <c r="K40" s="7"/>
      <c r="M40" s="23"/>
    </row>
    <row r="41" spans="1:13" ht="10.5" customHeight="1">
      <c r="A41" s="9"/>
      <c r="F41" s="15"/>
      <c r="G41" s="22"/>
      <c r="H41" s="22"/>
      <c r="I41" s="7"/>
      <c r="J41" s="7"/>
      <c r="K41" s="7"/>
      <c r="M41" s="23"/>
    </row>
    <row r="42" spans="1:13" ht="10.5" customHeight="1">
      <c r="A42" s="9"/>
      <c r="F42" s="15"/>
      <c r="G42" s="22"/>
      <c r="H42" s="22"/>
      <c r="I42" s="7"/>
      <c r="J42" s="7"/>
      <c r="K42" s="7"/>
      <c r="M42" s="23"/>
    </row>
    <row r="43" spans="1:13" ht="10.5" customHeight="1">
      <c r="A43" s="9"/>
      <c r="F43" s="15"/>
      <c r="G43" s="22"/>
      <c r="H43" s="22"/>
      <c r="I43" s="7"/>
      <c r="J43" s="7"/>
      <c r="K43" s="7"/>
      <c r="M43" s="23"/>
    </row>
    <row r="44" spans="1:13" ht="10.5" customHeight="1">
      <c r="A44" s="9"/>
      <c r="F44" s="15"/>
      <c r="G44" s="22"/>
      <c r="H44" s="22"/>
      <c r="I44" s="7"/>
      <c r="J44" s="7"/>
      <c r="K44" s="7"/>
      <c r="M44" s="23"/>
    </row>
    <row r="45" spans="1:13" ht="10.5" customHeight="1">
      <c r="A45" s="9"/>
      <c r="F45" s="15"/>
      <c r="G45" s="22"/>
      <c r="H45" s="22"/>
      <c r="I45" s="7"/>
      <c r="J45" s="7"/>
      <c r="K45" s="7"/>
      <c r="M45" s="23"/>
    </row>
    <row r="46" spans="1:15" ht="10.5" customHeight="1">
      <c r="A46" s="9"/>
      <c r="F46" s="4"/>
      <c r="G46" s="22"/>
      <c r="H46" s="22"/>
      <c r="I46" s="7"/>
      <c r="J46" s="31"/>
      <c r="K46" s="31"/>
      <c r="L46" s="32"/>
      <c r="M46" s="33"/>
      <c r="N46" s="34"/>
      <c r="O46" s="35"/>
    </row>
    <row r="47" spans="1:13" ht="10.5" customHeight="1">
      <c r="A47" s="36"/>
      <c r="F47" s="15"/>
      <c r="G47" s="22"/>
      <c r="H47" s="22"/>
      <c r="I47" s="7"/>
      <c r="J47" s="7"/>
      <c r="K47" s="7"/>
      <c r="M47" s="23"/>
    </row>
    <row r="48" spans="1:13" ht="10.5" customHeight="1">
      <c r="A48" s="36"/>
      <c r="F48" s="15"/>
      <c r="G48" s="22"/>
      <c r="H48" s="22"/>
      <c r="I48" s="7"/>
      <c r="J48" s="7"/>
      <c r="K48" s="7"/>
      <c r="M48" s="23"/>
    </row>
    <row r="49" spans="1:13" ht="10.5" customHeight="1">
      <c r="A49" s="36"/>
      <c r="F49" s="15"/>
      <c r="G49" s="22"/>
      <c r="H49" s="22"/>
      <c r="I49" s="7"/>
      <c r="J49" s="7"/>
      <c r="K49" s="7"/>
      <c r="M49" s="23"/>
    </row>
    <row r="50" spans="1:13" ht="10.5" customHeight="1">
      <c r="A50" s="36"/>
      <c r="F50" s="15"/>
      <c r="G50" s="22"/>
      <c r="H50" s="22"/>
      <c r="I50" s="7"/>
      <c r="J50" s="7"/>
      <c r="K50" s="7"/>
      <c r="M50" s="23"/>
    </row>
    <row r="51" spans="6:13" ht="10.5" customHeight="1">
      <c r="F51" s="15"/>
      <c r="G51" s="22"/>
      <c r="H51" s="22"/>
      <c r="I51" s="7"/>
      <c r="J51" s="7"/>
      <c r="K51" s="7"/>
      <c r="M51" s="23"/>
    </row>
    <row r="52" spans="6:13" ht="10.5" customHeight="1">
      <c r="F52" s="15"/>
      <c r="G52" s="22"/>
      <c r="H52" s="22"/>
      <c r="I52" s="7"/>
      <c r="J52" s="7"/>
      <c r="K52" s="7"/>
      <c r="M52" s="23"/>
    </row>
    <row r="53" spans="6:13" ht="10.5" customHeight="1">
      <c r="F53" s="15"/>
      <c r="G53" s="22"/>
      <c r="H53" s="22"/>
      <c r="I53" s="7"/>
      <c r="J53" s="7"/>
      <c r="K53" s="7"/>
      <c r="M53" s="23"/>
    </row>
    <row r="54" spans="6:13" ht="10.5" customHeight="1">
      <c r="F54" s="15"/>
      <c r="G54" s="22"/>
      <c r="H54" s="22"/>
      <c r="I54" s="7"/>
      <c r="J54" s="7"/>
      <c r="K54" s="7"/>
      <c r="M54" s="23"/>
    </row>
    <row r="55" spans="6:13" ht="10.5" customHeight="1">
      <c r="F55" s="15"/>
      <c r="G55" s="22"/>
      <c r="H55" s="22"/>
      <c r="I55" s="7"/>
      <c r="J55" s="7"/>
      <c r="K55" s="7"/>
      <c r="M55" s="23"/>
    </row>
    <row r="56" spans="6:13" ht="10.5" customHeight="1">
      <c r="F56" s="15"/>
      <c r="G56" s="22"/>
      <c r="H56" s="22"/>
      <c r="I56" s="7"/>
      <c r="J56" s="7"/>
      <c r="K56" s="7"/>
      <c r="M56" s="23"/>
    </row>
    <row r="57" spans="6:13" ht="10.5" customHeight="1">
      <c r="F57" s="15"/>
      <c r="G57" s="22"/>
      <c r="H57" s="22"/>
      <c r="I57" s="7"/>
      <c r="J57" s="7"/>
      <c r="K57" s="7"/>
      <c r="M57" s="23"/>
    </row>
    <row r="58" spans="6:13" ht="10.5" customHeight="1">
      <c r="F58" s="15"/>
      <c r="G58" s="22"/>
      <c r="H58" s="22"/>
      <c r="I58" s="7"/>
      <c r="J58" s="7"/>
      <c r="K58" s="7"/>
      <c r="M58" s="23"/>
    </row>
    <row r="59" spans="2:13" ht="10.5" customHeight="1">
      <c r="B59" s="20"/>
      <c r="C59" s="20"/>
      <c r="F59" s="15"/>
      <c r="G59" s="22"/>
      <c r="H59" s="22"/>
      <c r="I59" s="7"/>
      <c r="K59" s="7"/>
      <c r="M59" s="23"/>
    </row>
    <row r="60" spans="2:13" ht="10.5" customHeight="1">
      <c r="B60" s="20"/>
      <c r="C60" s="20"/>
      <c r="F60" s="15"/>
      <c r="G60" s="22"/>
      <c r="H60" s="22"/>
      <c r="I60" s="7"/>
      <c r="K60" s="7"/>
      <c r="M60" s="23"/>
    </row>
    <row r="61" spans="2:13" ht="10.5" customHeight="1">
      <c r="B61" s="20"/>
      <c r="C61" s="20"/>
      <c r="F61" s="15"/>
      <c r="G61" s="22"/>
      <c r="H61" s="22"/>
      <c r="I61" s="7"/>
      <c r="K61" s="7"/>
      <c r="M61" s="23"/>
    </row>
    <row r="62" spans="6:13" ht="10.5" customHeight="1">
      <c r="F62" s="15"/>
      <c r="G62" s="22"/>
      <c r="H62" s="22"/>
      <c r="I62" s="7"/>
      <c r="K62" s="7"/>
      <c r="M62" s="23"/>
    </row>
    <row r="63" spans="6:13" ht="10.5" customHeight="1">
      <c r="F63" s="15"/>
      <c r="G63" s="22"/>
      <c r="H63" s="22"/>
      <c r="I63" s="7"/>
      <c r="K63" s="7"/>
      <c r="M63" s="23"/>
    </row>
    <row r="64" spans="6:13" ht="10.5" customHeight="1">
      <c r="F64" s="15"/>
      <c r="G64" s="22"/>
      <c r="H64" s="22"/>
      <c r="I64" s="7"/>
      <c r="K64" s="7"/>
      <c r="M64" s="23"/>
    </row>
    <row r="65" spans="6:13" ht="10.5" customHeight="1">
      <c r="F65" s="15"/>
      <c r="G65" s="22"/>
      <c r="H65" s="22"/>
      <c r="I65" s="7"/>
      <c r="K65" s="7"/>
      <c r="M65" s="23"/>
    </row>
    <row r="66" spans="6:13" ht="10.5" customHeight="1">
      <c r="F66" s="15"/>
      <c r="G66" s="22"/>
      <c r="H66" s="22"/>
      <c r="I66" s="7"/>
      <c r="K66" s="7"/>
      <c r="M66" s="23"/>
    </row>
    <row r="67" spans="6:13" ht="10.5" customHeight="1">
      <c r="F67" s="15"/>
      <c r="G67" s="22"/>
      <c r="H67" s="22"/>
      <c r="I67" s="7"/>
      <c r="K67" s="7"/>
      <c r="M67" s="23"/>
    </row>
    <row r="68" spans="6:13" ht="10.5" customHeight="1">
      <c r="F68" s="15"/>
      <c r="G68" s="22"/>
      <c r="H68" s="22"/>
      <c r="I68" s="7"/>
      <c r="K68" s="7"/>
      <c r="M68" s="23"/>
    </row>
    <row r="69" spans="6:13" ht="10.5" customHeight="1">
      <c r="F69" s="15"/>
      <c r="G69" s="22"/>
      <c r="H69" s="22"/>
      <c r="I69" s="7"/>
      <c r="K69" s="7"/>
      <c r="M69" s="23"/>
    </row>
    <row r="70" spans="7:13" ht="10.5" customHeight="1">
      <c r="G70" s="22"/>
      <c r="H70" s="22"/>
      <c r="M70" s="23"/>
    </row>
    <row r="71" ht="10.5" customHeight="1">
      <c r="M71" s="23"/>
    </row>
    <row r="72" spans="11:13" ht="10.5" customHeight="1">
      <c r="K72" s="7"/>
      <c r="M72" s="23"/>
    </row>
    <row r="73" ht="10.5" customHeight="1">
      <c r="M73" s="23"/>
    </row>
    <row r="74" spans="11:13" ht="10.5" customHeight="1">
      <c r="K74" s="30"/>
      <c r="M74" s="2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74"/>
  <sheetViews>
    <sheetView zoomScalePageLayoutView="0" workbookViewId="0" topLeftCell="A1">
      <selection activeCell="A1" sqref="A1:IV16384"/>
    </sheetView>
  </sheetViews>
  <sheetFormatPr defaultColWidth="10.421875" defaultRowHeight="12.75"/>
  <cols>
    <col min="1" max="1" width="7.421875" style="4" customWidth="1"/>
    <col min="2" max="2" width="17.421875" style="26" customWidth="1"/>
    <col min="3" max="3" width="6.57421875" style="26" customWidth="1"/>
    <col min="4" max="4" width="18.140625" style="21" customWidth="1"/>
    <col min="5" max="5" width="8.7109375" style="21" customWidth="1"/>
    <col min="6" max="6" width="7.421875" style="27" bestFit="1" customWidth="1"/>
    <col min="7" max="7" width="7.57421875" style="15" customWidth="1"/>
    <col min="8" max="8" width="7.140625" style="15" customWidth="1"/>
    <col min="9" max="9" width="7.7109375" style="28" bestFit="1" customWidth="1"/>
    <col min="10" max="10" width="2.28125" style="29" customWidth="1"/>
    <col min="11" max="11" width="5.421875" style="28" customWidth="1"/>
    <col min="12" max="12" width="6.57421875" style="22" hidden="1" customWidth="1"/>
    <col min="13" max="13" width="10.7109375" style="21" hidden="1" customWidth="1"/>
    <col min="14" max="14" width="10.00390625" style="24" bestFit="1" customWidth="1"/>
    <col min="15" max="15" width="8.00390625" style="24" customWidth="1"/>
    <col min="16" max="16" width="8.57421875" style="24" customWidth="1"/>
    <col min="17" max="16384" width="10.421875" style="21" customWidth="1"/>
  </cols>
  <sheetData>
    <row r="1" spans="1:15" s="4" customFormat="1" ht="12" customHeight="1">
      <c r="A1" s="1" t="s">
        <v>97</v>
      </c>
      <c r="B1" s="2"/>
      <c r="C1" s="2"/>
      <c r="D1" s="3"/>
      <c r="F1" s="5"/>
      <c r="I1" s="6"/>
      <c r="J1" s="7"/>
      <c r="K1" s="8"/>
      <c r="M1" s="9" t="s">
        <v>0</v>
      </c>
      <c r="O1" s="10"/>
    </row>
    <row r="2" spans="1:15" s="4" customFormat="1" ht="12" customHeight="1">
      <c r="A2" s="1"/>
      <c r="B2" s="2"/>
      <c r="C2" s="2"/>
      <c r="D2" s="3"/>
      <c r="F2" s="5"/>
      <c r="I2" s="6"/>
      <c r="J2" s="7"/>
      <c r="K2" s="8"/>
      <c r="M2" s="9"/>
      <c r="O2" s="10"/>
    </row>
    <row r="3" spans="1:17" s="4" customFormat="1" ht="56.25">
      <c r="A3" s="11" t="s">
        <v>22</v>
      </c>
      <c r="B3" s="3" t="s">
        <v>3</v>
      </c>
      <c r="C3" s="3" t="s">
        <v>2</v>
      </c>
      <c r="D3" s="10" t="s">
        <v>4</v>
      </c>
      <c r="E3" s="10" t="s">
        <v>5</v>
      </c>
      <c r="F3" s="12" t="s">
        <v>6</v>
      </c>
      <c r="G3" s="13" t="s">
        <v>7</v>
      </c>
      <c r="H3" s="13" t="s">
        <v>8</v>
      </c>
      <c r="I3" s="14" t="s">
        <v>32</v>
      </c>
      <c r="J3" s="15"/>
      <c r="K3" s="13" t="s">
        <v>20</v>
      </c>
      <c r="L3" s="13"/>
      <c r="M3" s="9"/>
      <c r="N3" s="16" t="s">
        <v>9</v>
      </c>
      <c r="O3" s="17" t="s">
        <v>10</v>
      </c>
      <c r="P3" s="16" t="s">
        <v>11</v>
      </c>
      <c r="Q3" s="18"/>
    </row>
    <row r="4" spans="1:17" s="4" customFormat="1" ht="12.75">
      <c r="A4" s="11"/>
      <c r="B4" s="3"/>
      <c r="C4" s="3"/>
      <c r="D4" s="10"/>
      <c r="E4" s="10"/>
      <c r="F4" s="12"/>
      <c r="G4" s="13"/>
      <c r="H4" s="13"/>
      <c r="I4" s="14"/>
      <c r="J4" s="15"/>
      <c r="K4" s="13"/>
      <c r="L4" s="13"/>
      <c r="M4" s="9"/>
      <c r="N4" s="16"/>
      <c r="O4" s="17"/>
      <c r="P4" s="16"/>
      <c r="Q4" s="18"/>
    </row>
    <row r="5" spans="1:18" s="38" customFormat="1" ht="10.5" customHeight="1">
      <c r="A5" s="4" t="s">
        <v>55</v>
      </c>
      <c r="B5" s="37" t="s">
        <v>26</v>
      </c>
      <c r="C5" s="37" t="s">
        <v>82</v>
      </c>
      <c r="D5" s="37" t="s">
        <v>1</v>
      </c>
      <c r="E5" s="21" t="s">
        <v>91</v>
      </c>
      <c r="F5" s="15">
        <f>568864+10000+5340+12000+12000+5160+3100+9100+7166+4500+19700+1400+11646+19500</f>
        <v>689476</v>
      </c>
      <c r="G5" s="22">
        <f>F5-(F5/1.12)</f>
        <v>73872.42857142864</v>
      </c>
      <c r="H5" s="22">
        <f aca="true" t="shared" si="0" ref="H5:H14">J5*132</f>
        <v>0</v>
      </c>
      <c r="I5" s="7">
        <f aca="true" t="shared" si="1" ref="I5:I11">F5/12</f>
        <v>57456.333333333336</v>
      </c>
      <c r="J5" s="29">
        <v>0</v>
      </c>
      <c r="K5" s="29">
        <v>0</v>
      </c>
      <c r="L5" s="22">
        <f aca="true" t="shared" si="2" ref="L5:L12">J5*146</f>
        <v>0</v>
      </c>
      <c r="M5" s="23">
        <f aca="true" t="shared" si="3" ref="M5:M14">(F5-L5)/12</f>
        <v>57456.333333333336</v>
      </c>
      <c r="N5" s="24">
        <f aca="true" t="shared" si="4" ref="N5:N14">F5/1752</f>
        <v>393.5365296803653</v>
      </c>
      <c r="O5" s="24">
        <f aca="true" t="shared" si="5" ref="O5:O12">N5*1.65</f>
        <v>649.3352739726026</v>
      </c>
      <c r="P5" s="24">
        <f>(F5-(901*146))/1950</f>
        <v>286.1179487179487</v>
      </c>
      <c r="Q5" s="21"/>
      <c r="R5" s="21"/>
    </row>
    <row r="6" spans="1:18" s="38" customFormat="1" ht="10.5" customHeight="1">
      <c r="A6" s="4" t="s">
        <v>56</v>
      </c>
      <c r="B6" s="3" t="s">
        <v>79</v>
      </c>
      <c r="C6" s="4" t="s">
        <v>78</v>
      </c>
      <c r="D6" s="3" t="s">
        <v>77</v>
      </c>
      <c r="E6" s="21"/>
      <c r="F6" s="15">
        <f>584808+10000+5340+12000+12000+5160+3100+9100+7166+4500+19700+1400+11646+19500</f>
        <v>705420</v>
      </c>
      <c r="G6" s="22">
        <f>F6-(F6/1.12)</f>
        <v>75580.71428571432</v>
      </c>
      <c r="H6" s="22">
        <f t="shared" si="0"/>
        <v>0</v>
      </c>
      <c r="I6" s="7">
        <f t="shared" si="1"/>
        <v>58785</v>
      </c>
      <c r="J6" s="29">
        <v>0</v>
      </c>
      <c r="K6" s="29">
        <v>0</v>
      </c>
      <c r="L6" s="22">
        <f t="shared" si="2"/>
        <v>0</v>
      </c>
      <c r="M6" s="23">
        <f t="shared" si="3"/>
        <v>58785</v>
      </c>
      <c r="N6" s="24">
        <f t="shared" si="4"/>
        <v>402.63698630136986</v>
      </c>
      <c r="O6" s="24">
        <f t="shared" si="5"/>
        <v>664.3510273972603</v>
      </c>
      <c r="P6" s="24">
        <f aca="true" t="shared" si="6" ref="P6:P35">(F6-(901*146))/1950</f>
        <v>294.294358974359</v>
      </c>
      <c r="Q6" s="21"/>
      <c r="R6" s="21"/>
    </row>
    <row r="7" spans="1:18" s="38" customFormat="1" ht="10.5" customHeight="1">
      <c r="A7" s="4" t="s">
        <v>57</v>
      </c>
      <c r="B7" s="26"/>
      <c r="C7" s="21"/>
      <c r="F7" s="15">
        <f>656978+19700+1400+11646+19500</f>
        <v>709224</v>
      </c>
      <c r="G7" s="22">
        <f aca="true" t="shared" si="7" ref="G7:G14">F7-(F7/1.12)</f>
        <v>75988.2857142858</v>
      </c>
      <c r="H7" s="22">
        <f t="shared" si="0"/>
        <v>0</v>
      </c>
      <c r="I7" s="7">
        <f>F7/12</f>
        <v>59102</v>
      </c>
      <c r="J7" s="29">
        <v>0</v>
      </c>
      <c r="K7" s="29">
        <v>0</v>
      </c>
      <c r="L7" s="22">
        <f>J7*146</f>
        <v>0</v>
      </c>
      <c r="M7" s="23">
        <f t="shared" si="3"/>
        <v>59102</v>
      </c>
      <c r="N7" s="24">
        <f t="shared" si="4"/>
        <v>404.8082191780822</v>
      </c>
      <c r="O7" s="24">
        <f>N7*1.65</f>
        <v>667.9335616438356</v>
      </c>
      <c r="P7" s="24">
        <f t="shared" si="6"/>
        <v>296.2451282051282</v>
      </c>
      <c r="Q7" s="21"/>
      <c r="R7" s="21"/>
    </row>
    <row r="8" spans="1:18" s="38" customFormat="1" ht="10.5" customHeight="1">
      <c r="A8" s="4" t="s">
        <v>58</v>
      </c>
      <c r="B8" s="26"/>
      <c r="C8" s="21"/>
      <c r="F8" s="15">
        <f>661978+19700+1400+11646+19500</f>
        <v>714224</v>
      </c>
      <c r="G8" s="22">
        <f t="shared" si="7"/>
        <v>76524.00000000012</v>
      </c>
      <c r="H8" s="22">
        <f t="shared" si="0"/>
        <v>0</v>
      </c>
      <c r="I8" s="7">
        <f>F8/12</f>
        <v>59518.666666666664</v>
      </c>
      <c r="J8" s="29">
        <v>0</v>
      </c>
      <c r="K8" s="29">
        <v>0</v>
      </c>
      <c r="L8" s="22">
        <f>J8*146</f>
        <v>0</v>
      </c>
      <c r="M8" s="23">
        <f t="shared" si="3"/>
        <v>59518.666666666664</v>
      </c>
      <c r="N8" s="24">
        <f t="shared" si="4"/>
        <v>407.662100456621</v>
      </c>
      <c r="O8" s="24">
        <f>N8*1.65</f>
        <v>672.6424657534246</v>
      </c>
      <c r="P8" s="24">
        <f t="shared" si="6"/>
        <v>298.8092307692308</v>
      </c>
      <c r="Q8" s="21"/>
      <c r="R8" s="21"/>
    </row>
    <row r="9" spans="1:18" s="38" customFormat="1" ht="10.5" customHeight="1">
      <c r="A9" s="4" t="s">
        <v>59</v>
      </c>
      <c r="B9" s="26"/>
      <c r="C9" s="21"/>
      <c r="F9" s="15">
        <f>666978+19700+1400+11646+19500</f>
        <v>719224</v>
      </c>
      <c r="G9" s="22">
        <f t="shared" si="7"/>
        <v>77059.71428571432</v>
      </c>
      <c r="H9" s="22">
        <f t="shared" si="0"/>
        <v>0</v>
      </c>
      <c r="I9" s="7">
        <f>F9/12</f>
        <v>59935.333333333336</v>
      </c>
      <c r="J9" s="29">
        <v>0</v>
      </c>
      <c r="K9" s="29">
        <v>0</v>
      </c>
      <c r="L9" s="22">
        <f>J9*146</f>
        <v>0</v>
      </c>
      <c r="M9" s="23">
        <f t="shared" si="3"/>
        <v>59935.333333333336</v>
      </c>
      <c r="N9" s="24">
        <f t="shared" si="4"/>
        <v>410.5159817351598</v>
      </c>
      <c r="O9" s="24">
        <f>N9*1.65</f>
        <v>677.3513698630137</v>
      </c>
      <c r="P9" s="24">
        <f t="shared" si="6"/>
        <v>301.37333333333333</v>
      </c>
      <c r="Q9" s="21"/>
      <c r="R9" s="21"/>
    </row>
    <row r="10" spans="1:18" s="38" customFormat="1" ht="10.5" customHeight="1">
      <c r="A10" s="4" t="s">
        <v>60</v>
      </c>
      <c r="B10" s="26"/>
      <c r="C10" s="21"/>
      <c r="F10" s="15">
        <f>671978+19700+1400+11646+19500</f>
        <v>724224</v>
      </c>
      <c r="G10" s="22">
        <f t="shared" si="7"/>
        <v>77595.42857142864</v>
      </c>
      <c r="H10" s="22">
        <f t="shared" si="0"/>
        <v>0</v>
      </c>
      <c r="I10" s="7">
        <f>F10/12</f>
        <v>60352</v>
      </c>
      <c r="J10" s="29">
        <v>0</v>
      </c>
      <c r="K10" s="29">
        <v>0</v>
      </c>
      <c r="L10" s="22">
        <f>J10*146</f>
        <v>0</v>
      </c>
      <c r="M10" s="23">
        <f t="shared" si="3"/>
        <v>60352</v>
      </c>
      <c r="N10" s="24">
        <f t="shared" si="4"/>
        <v>413.36986301369865</v>
      </c>
      <c r="O10" s="24">
        <f>N10*1.65</f>
        <v>682.0602739726028</v>
      </c>
      <c r="P10" s="24">
        <f t="shared" si="6"/>
        <v>303.9374358974359</v>
      </c>
      <c r="Q10" s="21"/>
      <c r="R10" s="21"/>
    </row>
    <row r="11" spans="1:18" s="38" customFormat="1" ht="10.5" customHeight="1">
      <c r="A11" s="4" t="s">
        <v>61</v>
      </c>
      <c r="B11" s="26"/>
      <c r="C11" s="21"/>
      <c r="F11" s="15">
        <f>676978+19700+1400+11646+19500</f>
        <v>729224</v>
      </c>
      <c r="G11" s="22">
        <f t="shared" si="7"/>
        <v>78131.14285714296</v>
      </c>
      <c r="H11" s="22">
        <f t="shared" si="0"/>
        <v>0</v>
      </c>
      <c r="I11" s="7">
        <f t="shared" si="1"/>
        <v>60768.666666666664</v>
      </c>
      <c r="J11" s="29">
        <v>0</v>
      </c>
      <c r="K11" s="29">
        <v>0</v>
      </c>
      <c r="L11" s="22">
        <f t="shared" si="2"/>
        <v>0</v>
      </c>
      <c r="M11" s="23">
        <f t="shared" si="3"/>
        <v>60768.666666666664</v>
      </c>
      <c r="N11" s="24">
        <f t="shared" si="4"/>
        <v>416.2237442922374</v>
      </c>
      <c r="O11" s="24">
        <f t="shared" si="5"/>
        <v>686.7691780821917</v>
      </c>
      <c r="P11" s="24">
        <f t="shared" si="6"/>
        <v>306.5015384615385</v>
      </c>
      <c r="Q11" s="21"/>
      <c r="R11" s="21"/>
    </row>
    <row r="12" spans="1:18" s="38" customFormat="1" ht="10.5" customHeight="1">
      <c r="A12" s="4" t="s">
        <v>62</v>
      </c>
      <c r="B12" s="26"/>
      <c r="C12" s="21"/>
      <c r="F12" s="15">
        <f>681978+19700+1400+11646+19500</f>
        <v>734224</v>
      </c>
      <c r="G12" s="22">
        <f t="shared" si="7"/>
        <v>78666.85714285716</v>
      </c>
      <c r="H12" s="22">
        <f t="shared" si="0"/>
        <v>0</v>
      </c>
      <c r="I12" s="7">
        <f>F12/12</f>
        <v>61185.333333333336</v>
      </c>
      <c r="J12" s="29">
        <v>0</v>
      </c>
      <c r="K12" s="29">
        <v>0</v>
      </c>
      <c r="L12" s="22">
        <f t="shared" si="2"/>
        <v>0</v>
      </c>
      <c r="M12" s="23">
        <f t="shared" si="3"/>
        <v>61185.333333333336</v>
      </c>
      <c r="N12" s="24">
        <f t="shared" si="4"/>
        <v>419.07762557077626</v>
      </c>
      <c r="O12" s="24">
        <f t="shared" si="5"/>
        <v>691.4780821917808</v>
      </c>
      <c r="P12" s="24">
        <f t="shared" si="6"/>
        <v>309.065641025641</v>
      </c>
      <c r="Q12" s="21"/>
      <c r="R12" s="21"/>
    </row>
    <row r="13" spans="1:18" s="38" customFormat="1" ht="10.5" customHeight="1">
      <c r="A13" s="4" t="s">
        <v>63</v>
      </c>
      <c r="B13" s="26"/>
      <c r="C13" s="21"/>
      <c r="F13" s="15">
        <f>686978+19700+1400+11646+19500</f>
        <v>739224</v>
      </c>
      <c r="G13" s="22">
        <f t="shared" si="7"/>
        <v>79202.57142857148</v>
      </c>
      <c r="H13" s="22">
        <f t="shared" si="0"/>
        <v>0</v>
      </c>
      <c r="I13" s="7">
        <f>F13/12</f>
        <v>61602</v>
      </c>
      <c r="J13" s="29">
        <v>0</v>
      </c>
      <c r="K13" s="29">
        <v>0</v>
      </c>
      <c r="L13" s="22">
        <f>J13*146</f>
        <v>0</v>
      </c>
      <c r="M13" s="23">
        <f t="shared" si="3"/>
        <v>61602</v>
      </c>
      <c r="N13" s="24">
        <f t="shared" si="4"/>
        <v>421.93150684931504</v>
      </c>
      <c r="O13" s="24">
        <f>N13*1.65</f>
        <v>696.1869863013698</v>
      </c>
      <c r="P13" s="24">
        <f t="shared" si="6"/>
        <v>311.6297435897436</v>
      </c>
      <c r="Q13" s="21"/>
      <c r="R13" s="21"/>
    </row>
    <row r="14" spans="1:18" s="38" customFormat="1" ht="10.5" customHeight="1">
      <c r="A14" s="4" t="s">
        <v>64</v>
      </c>
      <c r="B14" s="26"/>
      <c r="C14" s="21"/>
      <c r="F14" s="15">
        <f>691978+19700+1400+11646+19500</f>
        <v>744224</v>
      </c>
      <c r="G14" s="22">
        <f t="shared" si="7"/>
        <v>79738.2857142858</v>
      </c>
      <c r="H14" s="22">
        <f t="shared" si="0"/>
        <v>0</v>
      </c>
      <c r="I14" s="7">
        <f>F14/12</f>
        <v>62018.666666666664</v>
      </c>
      <c r="J14" s="29">
        <v>0</v>
      </c>
      <c r="K14" s="29">
        <v>0</v>
      </c>
      <c r="L14" s="22">
        <f>J14*146</f>
        <v>0</v>
      </c>
      <c r="M14" s="23">
        <f t="shared" si="3"/>
        <v>62018.666666666664</v>
      </c>
      <c r="N14" s="24">
        <f t="shared" si="4"/>
        <v>424.7853881278539</v>
      </c>
      <c r="O14" s="24">
        <f>N14*1.65</f>
        <v>700.8958904109588</v>
      </c>
      <c r="P14" s="24">
        <f t="shared" si="6"/>
        <v>314.19384615384615</v>
      </c>
      <c r="Q14" s="21"/>
      <c r="R14" s="21"/>
    </row>
    <row r="15" spans="1:16" s="4" customFormat="1" ht="11.25">
      <c r="A15" s="19"/>
      <c r="B15" s="3"/>
      <c r="C15" s="3"/>
      <c r="D15" s="10"/>
      <c r="E15" s="10"/>
      <c r="F15" s="12"/>
      <c r="G15" s="13"/>
      <c r="H15" s="13"/>
      <c r="I15" s="14"/>
      <c r="J15" s="15"/>
      <c r="K15" s="14"/>
      <c r="L15" s="13"/>
      <c r="M15" s="9"/>
      <c r="N15" s="16"/>
      <c r="O15" s="17"/>
      <c r="P15" s="24"/>
    </row>
    <row r="16" spans="1:17" ht="10.5" customHeight="1">
      <c r="A16" s="4" t="s">
        <v>14</v>
      </c>
      <c r="B16" s="37" t="s">
        <v>35</v>
      </c>
      <c r="C16" s="37" t="s">
        <v>83</v>
      </c>
      <c r="D16" s="37" t="s">
        <v>31</v>
      </c>
      <c r="E16" s="21" t="s">
        <v>91</v>
      </c>
      <c r="F16" s="15">
        <f>623965+5160+3100+9100+7166+4500+19700+1400+11646+19500</f>
        <v>705237</v>
      </c>
      <c r="G16" s="22">
        <f aca="true" t="shared" si="8" ref="G16:G22">F16-(F16/1.12)</f>
        <v>75561.10714285716</v>
      </c>
      <c r="H16" s="22">
        <f aca="true" t="shared" si="9" ref="H16:H22">K16*132</f>
        <v>0</v>
      </c>
      <c r="I16" s="7">
        <f aca="true" t="shared" si="10" ref="I16:I22">F16/12</f>
        <v>58769.75</v>
      </c>
      <c r="J16" s="7"/>
      <c r="K16" s="7">
        <v>0</v>
      </c>
      <c r="L16" s="22">
        <f aca="true" t="shared" si="11" ref="L16:L22">K16*146</f>
        <v>0</v>
      </c>
      <c r="M16" s="23">
        <f aca="true" t="shared" si="12" ref="M16:M22">(F16-L16)/12</f>
        <v>58769.75</v>
      </c>
      <c r="N16" s="24">
        <f aca="true" t="shared" si="13" ref="N16:N22">F16/1752</f>
        <v>402.5325342465753</v>
      </c>
      <c r="O16" s="24">
        <f aca="true" t="shared" si="14" ref="O16:O22">N16*1.65</f>
        <v>664.1786815068492</v>
      </c>
      <c r="P16" s="24">
        <f t="shared" si="6"/>
        <v>294.2005128205128</v>
      </c>
      <c r="Q16" s="25"/>
    </row>
    <row r="17" spans="1:17" ht="10.5" customHeight="1">
      <c r="A17" s="4" t="s">
        <v>15</v>
      </c>
      <c r="B17" s="3" t="s">
        <v>80</v>
      </c>
      <c r="C17" s="4" t="s">
        <v>84</v>
      </c>
      <c r="D17" s="37" t="s">
        <v>81</v>
      </c>
      <c r="F17" s="15">
        <f>640371+5160+3100+9100+7166+4500+19700+1400+11646+19500</f>
        <v>721643</v>
      </c>
      <c r="G17" s="22">
        <f t="shared" si="8"/>
        <v>77318.89285714296</v>
      </c>
      <c r="H17" s="22">
        <f t="shared" si="9"/>
        <v>0</v>
      </c>
      <c r="I17" s="7">
        <f t="shared" si="10"/>
        <v>60136.916666666664</v>
      </c>
      <c r="J17" s="7"/>
      <c r="K17" s="7">
        <v>0</v>
      </c>
      <c r="L17" s="22">
        <f t="shared" si="11"/>
        <v>0</v>
      </c>
      <c r="M17" s="23">
        <f t="shared" si="12"/>
        <v>60136.916666666664</v>
      </c>
      <c r="N17" s="24">
        <f t="shared" si="13"/>
        <v>411.8966894977169</v>
      </c>
      <c r="O17" s="24">
        <f t="shared" si="14"/>
        <v>679.6295376712329</v>
      </c>
      <c r="P17" s="24">
        <f t="shared" si="6"/>
        <v>302.61384615384617</v>
      </c>
      <c r="Q17" s="25"/>
    </row>
    <row r="18" spans="1:17" ht="10.5" customHeight="1">
      <c r="A18" s="4" t="s">
        <v>16</v>
      </c>
      <c r="F18" s="15">
        <f>675745+19700+1400+11646+19500</f>
        <v>727991</v>
      </c>
      <c r="G18" s="22">
        <f t="shared" si="8"/>
        <v>77999.0357142858</v>
      </c>
      <c r="H18" s="22">
        <f t="shared" si="9"/>
        <v>0</v>
      </c>
      <c r="I18" s="7">
        <f t="shared" si="10"/>
        <v>60665.916666666664</v>
      </c>
      <c r="J18" s="7"/>
      <c r="K18" s="7">
        <v>0</v>
      </c>
      <c r="L18" s="22">
        <f t="shared" si="11"/>
        <v>0</v>
      </c>
      <c r="M18" s="23">
        <f t="shared" si="12"/>
        <v>60665.916666666664</v>
      </c>
      <c r="N18" s="24">
        <f t="shared" si="13"/>
        <v>415.51997716894977</v>
      </c>
      <c r="O18" s="24">
        <f t="shared" si="14"/>
        <v>685.607962328767</v>
      </c>
      <c r="P18" s="24">
        <f t="shared" si="6"/>
        <v>305.8692307692308</v>
      </c>
      <c r="Q18" s="25"/>
    </row>
    <row r="19" spans="1:17" ht="10.5" customHeight="1">
      <c r="A19" s="4" t="s">
        <v>17</v>
      </c>
      <c r="F19" s="15">
        <f>680745+19700+1400+11646+19500</f>
        <v>732991</v>
      </c>
      <c r="G19" s="22">
        <f t="shared" si="8"/>
        <v>78534.75000000012</v>
      </c>
      <c r="H19" s="22">
        <f t="shared" si="9"/>
        <v>0</v>
      </c>
      <c r="I19" s="7">
        <f t="shared" si="10"/>
        <v>61082.583333333336</v>
      </c>
      <c r="J19" s="7"/>
      <c r="K19" s="7">
        <v>0</v>
      </c>
      <c r="L19" s="22">
        <f t="shared" si="11"/>
        <v>0</v>
      </c>
      <c r="M19" s="23">
        <f t="shared" si="12"/>
        <v>61082.583333333336</v>
      </c>
      <c r="N19" s="24">
        <f t="shared" si="13"/>
        <v>418.3738584474886</v>
      </c>
      <c r="O19" s="24">
        <f t="shared" si="14"/>
        <v>690.3168664383561</v>
      </c>
      <c r="P19" s="24">
        <f t="shared" si="6"/>
        <v>308.43333333333334</v>
      </c>
      <c r="Q19" s="25"/>
    </row>
    <row r="20" spans="1:17" ht="10.5" customHeight="1">
      <c r="A20" s="4" t="s">
        <v>18</v>
      </c>
      <c r="F20" s="15">
        <f>685745+19700+1400+11646+19500</f>
        <v>737991</v>
      </c>
      <c r="G20" s="22">
        <f t="shared" si="8"/>
        <v>79070.46428571432</v>
      </c>
      <c r="H20" s="22">
        <f t="shared" si="9"/>
        <v>0</v>
      </c>
      <c r="I20" s="7">
        <f t="shared" si="10"/>
        <v>61499.25</v>
      </c>
      <c r="J20" s="7"/>
      <c r="K20" s="7">
        <v>0</v>
      </c>
      <c r="L20" s="22">
        <f t="shared" si="11"/>
        <v>0</v>
      </c>
      <c r="M20" s="23">
        <f t="shared" si="12"/>
        <v>61499.25</v>
      </c>
      <c r="N20" s="24">
        <f t="shared" si="13"/>
        <v>421.2277397260274</v>
      </c>
      <c r="O20" s="24">
        <f t="shared" si="14"/>
        <v>695.0257705479452</v>
      </c>
      <c r="P20" s="24">
        <f t="shared" si="6"/>
        <v>310.9974358974359</v>
      </c>
      <c r="Q20" s="25"/>
    </row>
    <row r="21" spans="1:17" ht="10.5" customHeight="1">
      <c r="A21" s="4" t="s">
        <v>19</v>
      </c>
      <c r="F21" s="15">
        <f>690745+19700+1400+11646+19500</f>
        <v>742991</v>
      </c>
      <c r="G21" s="22">
        <f t="shared" si="8"/>
        <v>79606.17857142864</v>
      </c>
      <c r="H21" s="22">
        <f t="shared" si="9"/>
        <v>0</v>
      </c>
      <c r="I21" s="7">
        <f t="shared" si="10"/>
        <v>61915.916666666664</v>
      </c>
      <c r="J21" s="7"/>
      <c r="K21" s="7">
        <v>0</v>
      </c>
      <c r="L21" s="22">
        <f t="shared" si="11"/>
        <v>0</v>
      </c>
      <c r="M21" s="23">
        <f t="shared" si="12"/>
        <v>61915.916666666664</v>
      </c>
      <c r="N21" s="24">
        <f t="shared" si="13"/>
        <v>424.0816210045662</v>
      </c>
      <c r="O21" s="24">
        <f t="shared" si="14"/>
        <v>699.7346746575342</v>
      </c>
      <c r="P21" s="24">
        <f t="shared" si="6"/>
        <v>313.5615384615385</v>
      </c>
      <c r="Q21" s="25"/>
    </row>
    <row r="22" spans="1:16" ht="10.5" customHeight="1">
      <c r="A22" s="4" t="s">
        <v>23</v>
      </c>
      <c r="F22" s="15">
        <f>695745+19700+1400+11646+19500</f>
        <v>747991</v>
      </c>
      <c r="G22" s="22">
        <f t="shared" si="8"/>
        <v>80141.89285714296</v>
      </c>
      <c r="H22" s="22">
        <f t="shared" si="9"/>
        <v>0</v>
      </c>
      <c r="I22" s="7">
        <f t="shared" si="10"/>
        <v>62332.583333333336</v>
      </c>
      <c r="J22" s="7"/>
      <c r="K22" s="7">
        <v>0</v>
      </c>
      <c r="L22" s="22">
        <f t="shared" si="11"/>
        <v>0</v>
      </c>
      <c r="M22" s="23">
        <f t="shared" si="12"/>
        <v>62332.583333333336</v>
      </c>
      <c r="N22" s="24">
        <f t="shared" si="13"/>
        <v>426.935502283105</v>
      </c>
      <c r="O22" s="24">
        <f t="shared" si="14"/>
        <v>704.4435787671232</v>
      </c>
      <c r="P22" s="24">
        <f t="shared" si="6"/>
        <v>316.125641025641</v>
      </c>
    </row>
    <row r="23" spans="1:16" ht="10.5" customHeight="1">
      <c r="A23" s="4" t="s">
        <v>37</v>
      </c>
      <c r="F23" s="15">
        <f>700745+19700+1400+11646+19500</f>
        <v>752991</v>
      </c>
      <c r="G23" s="22">
        <f>F23-(F23/1.12)</f>
        <v>80677.60714285716</v>
      </c>
      <c r="H23" s="22">
        <f>K23*132</f>
        <v>0</v>
      </c>
      <c r="I23" s="7">
        <f>F23/12</f>
        <v>62749.25</v>
      </c>
      <c r="J23" s="7"/>
      <c r="K23" s="7">
        <v>0</v>
      </c>
      <c r="L23" s="22">
        <f>K23*146</f>
        <v>0</v>
      </c>
      <c r="M23" s="23">
        <f>(F23-L23)/12</f>
        <v>62749.25</v>
      </c>
      <c r="N23" s="24">
        <f>F23/1752</f>
        <v>429.78938356164383</v>
      </c>
      <c r="O23" s="24">
        <f>N23*1.65</f>
        <v>709.1524828767123</v>
      </c>
      <c r="P23" s="24">
        <f t="shared" si="6"/>
        <v>318.6897435897436</v>
      </c>
    </row>
    <row r="24" spans="1:16" ht="10.5" customHeight="1">
      <c r="A24" s="4" t="s">
        <v>49</v>
      </c>
      <c r="F24" s="15">
        <f>705745+19700+1400+11646+19500</f>
        <v>757991</v>
      </c>
      <c r="G24" s="22">
        <f>F24-(F24/1.12)</f>
        <v>81213.32142857148</v>
      </c>
      <c r="H24" s="22">
        <f>K24*132</f>
        <v>0</v>
      </c>
      <c r="I24" s="7">
        <f>F24/12</f>
        <v>63165.916666666664</v>
      </c>
      <c r="J24" s="7"/>
      <c r="K24" s="7">
        <v>0</v>
      </c>
      <c r="L24" s="22">
        <f>K24*146</f>
        <v>0</v>
      </c>
      <c r="M24" s="23">
        <f>(F24-L24)/12</f>
        <v>63165.916666666664</v>
      </c>
      <c r="N24" s="24">
        <f>F24/1752</f>
        <v>432.64326484018267</v>
      </c>
      <c r="O24" s="24">
        <f>N24*1.65</f>
        <v>713.8613869863013</v>
      </c>
      <c r="P24" s="24">
        <f t="shared" si="6"/>
        <v>321.25384615384615</v>
      </c>
    </row>
    <row r="25" spans="1:16" ht="10.5" customHeight="1">
      <c r="A25" s="4" t="s">
        <v>52</v>
      </c>
      <c r="F25" s="15">
        <f>706245+4500+19700+1400+11646+19500</f>
        <v>762991</v>
      </c>
      <c r="G25" s="22">
        <f>F25-(F25/1.12)</f>
        <v>81749.0357142858</v>
      </c>
      <c r="H25" s="22">
        <f>K25*132</f>
        <v>0</v>
      </c>
      <c r="I25" s="7">
        <f>F25/12</f>
        <v>63582.583333333336</v>
      </c>
      <c r="J25" s="7"/>
      <c r="K25" s="7">
        <v>0</v>
      </c>
      <c r="L25" s="22">
        <f>K25*146</f>
        <v>0</v>
      </c>
      <c r="M25" s="23">
        <f>(F25-L25)/12</f>
        <v>63582.583333333336</v>
      </c>
      <c r="N25" s="24">
        <f>F25/1752</f>
        <v>435.49714611872145</v>
      </c>
      <c r="O25" s="24">
        <f>N25*1.65</f>
        <v>718.5702910958903</v>
      </c>
      <c r="P25" s="24">
        <f t="shared" si="6"/>
        <v>323.8179487179487</v>
      </c>
    </row>
    <row r="26" ht="10.5" customHeight="1">
      <c r="M26" s="23"/>
    </row>
    <row r="27" spans="1:18" s="38" customFormat="1" ht="10.5" customHeight="1">
      <c r="A27" s="4" t="s">
        <v>68</v>
      </c>
      <c r="B27" s="3" t="s">
        <v>86</v>
      </c>
      <c r="C27" s="4" t="s">
        <v>85</v>
      </c>
      <c r="D27" s="37" t="s">
        <v>87</v>
      </c>
      <c r="E27" s="21" t="s">
        <v>91</v>
      </c>
      <c r="F27" s="15">
        <f>664342+5160+3100+9100+7166+4500+19700+1400+11646+19500</f>
        <v>745614</v>
      </c>
      <c r="G27" s="22">
        <f aca="true" t="shared" si="15" ref="G27:G35">F27-(F27/1.12)</f>
        <v>79887.21428571432</v>
      </c>
      <c r="H27" s="22">
        <f aca="true" t="shared" si="16" ref="H27:H33">K27*132</f>
        <v>0</v>
      </c>
      <c r="I27" s="7">
        <f aca="true" t="shared" si="17" ref="I27:I35">F27/12</f>
        <v>62134.5</v>
      </c>
      <c r="J27" s="29"/>
      <c r="K27" s="7">
        <v>0</v>
      </c>
      <c r="L27" s="29">
        <v>0</v>
      </c>
      <c r="M27" s="29">
        <f aca="true" t="shared" si="18" ref="M27:M35">892+14+9</f>
        <v>915</v>
      </c>
      <c r="N27" s="24">
        <f aca="true" t="shared" si="19" ref="N27:N35">F27/1752</f>
        <v>425.57876712328766</v>
      </c>
      <c r="O27" s="24">
        <f aca="true" t="shared" si="20" ref="O27:O35">N27*1.65</f>
        <v>702.2049657534246</v>
      </c>
      <c r="P27" s="24">
        <f t="shared" si="6"/>
        <v>314.9066666666667</v>
      </c>
      <c r="R27" s="21"/>
    </row>
    <row r="28" spans="1:18" s="38" customFormat="1" ht="10.5" customHeight="1">
      <c r="A28" s="4" t="s">
        <v>69</v>
      </c>
      <c r="B28" s="26"/>
      <c r="C28" s="21"/>
      <c r="D28" s="20" t="s">
        <v>94</v>
      </c>
      <c r="F28" s="15">
        <f>703562+19700+1400+11646+19500</f>
        <v>755808</v>
      </c>
      <c r="G28" s="22">
        <f t="shared" si="15"/>
        <v>80979.42857142864</v>
      </c>
      <c r="H28" s="22">
        <f t="shared" si="16"/>
        <v>0</v>
      </c>
      <c r="I28" s="7">
        <f t="shared" si="17"/>
        <v>62984</v>
      </c>
      <c r="J28" s="29"/>
      <c r="K28" s="7">
        <v>0</v>
      </c>
      <c r="L28" s="29">
        <v>0</v>
      </c>
      <c r="M28" s="29">
        <f t="shared" si="18"/>
        <v>915</v>
      </c>
      <c r="N28" s="24">
        <f t="shared" si="19"/>
        <v>431.3972602739726</v>
      </c>
      <c r="O28" s="24">
        <f t="shared" si="20"/>
        <v>711.8054794520548</v>
      </c>
      <c r="P28" s="24">
        <f t="shared" si="6"/>
        <v>320.134358974359</v>
      </c>
      <c r="R28" s="21"/>
    </row>
    <row r="29" spans="1:18" s="38" customFormat="1" ht="10.5" customHeight="1">
      <c r="A29" s="4" t="s">
        <v>70</v>
      </c>
      <c r="F29" s="15">
        <f>708562+19700+1400+11646+19500</f>
        <v>760808</v>
      </c>
      <c r="G29" s="22">
        <f t="shared" si="15"/>
        <v>81515.14285714296</v>
      </c>
      <c r="H29" s="22">
        <f t="shared" si="16"/>
        <v>0</v>
      </c>
      <c r="I29" s="7">
        <f t="shared" si="17"/>
        <v>63400.666666666664</v>
      </c>
      <c r="J29" s="29"/>
      <c r="K29" s="7">
        <v>0</v>
      </c>
      <c r="L29" s="29">
        <v>0</v>
      </c>
      <c r="M29" s="29">
        <f t="shared" si="18"/>
        <v>915</v>
      </c>
      <c r="N29" s="24">
        <f t="shared" si="19"/>
        <v>434.2511415525114</v>
      </c>
      <c r="O29" s="24">
        <f t="shared" si="20"/>
        <v>716.5143835616437</v>
      </c>
      <c r="P29" s="24">
        <f t="shared" si="6"/>
        <v>322.6984615384615</v>
      </c>
      <c r="R29" s="21"/>
    </row>
    <row r="30" spans="1:18" s="38" customFormat="1" ht="10.5" customHeight="1">
      <c r="A30" s="4" t="s">
        <v>71</v>
      </c>
      <c r="B30" s="39"/>
      <c r="F30" s="15">
        <f>713562+19700+1400+11646+19500</f>
        <v>765808</v>
      </c>
      <c r="G30" s="22">
        <f t="shared" si="15"/>
        <v>82050.85714285716</v>
      </c>
      <c r="H30" s="22">
        <f t="shared" si="16"/>
        <v>0</v>
      </c>
      <c r="I30" s="7">
        <f t="shared" si="17"/>
        <v>63817.333333333336</v>
      </c>
      <c r="J30" s="29"/>
      <c r="K30" s="7">
        <v>0</v>
      </c>
      <c r="L30" s="29">
        <v>0</v>
      </c>
      <c r="M30" s="29">
        <f t="shared" si="18"/>
        <v>915</v>
      </c>
      <c r="N30" s="24">
        <f t="shared" si="19"/>
        <v>437.10502283105023</v>
      </c>
      <c r="O30" s="24">
        <f t="shared" si="20"/>
        <v>721.2232876712328</v>
      </c>
      <c r="P30" s="24">
        <f t="shared" si="6"/>
        <v>325.2625641025641</v>
      </c>
      <c r="R30" s="21"/>
    </row>
    <row r="31" spans="1:18" s="38" customFormat="1" ht="10.5" customHeight="1">
      <c r="A31" s="4" t="s">
        <v>72</v>
      </c>
      <c r="B31" s="39"/>
      <c r="F31" s="15">
        <f>718562+19700+1400+11646+19500</f>
        <v>770808</v>
      </c>
      <c r="G31" s="22">
        <f t="shared" si="15"/>
        <v>82586.57142857148</v>
      </c>
      <c r="H31" s="22">
        <f t="shared" si="16"/>
        <v>0</v>
      </c>
      <c r="I31" s="7">
        <f t="shared" si="17"/>
        <v>64234</v>
      </c>
      <c r="J31" s="29"/>
      <c r="K31" s="7">
        <v>0</v>
      </c>
      <c r="L31" s="29">
        <v>0</v>
      </c>
      <c r="M31" s="29">
        <f t="shared" si="18"/>
        <v>915</v>
      </c>
      <c r="N31" s="24">
        <f t="shared" si="19"/>
        <v>439.958904109589</v>
      </c>
      <c r="O31" s="24">
        <f t="shared" si="20"/>
        <v>725.9321917808219</v>
      </c>
      <c r="P31" s="24">
        <f t="shared" si="6"/>
        <v>327.82666666666665</v>
      </c>
      <c r="R31" s="21"/>
    </row>
    <row r="32" spans="1:18" s="38" customFormat="1" ht="10.5" customHeight="1">
      <c r="A32" s="4" t="s">
        <v>73</v>
      </c>
      <c r="B32" s="39"/>
      <c r="F32" s="15">
        <f>723562+19700+1400+11646+19500</f>
        <v>775808</v>
      </c>
      <c r="G32" s="22">
        <f t="shared" si="15"/>
        <v>83122.2857142858</v>
      </c>
      <c r="H32" s="22">
        <f t="shared" si="16"/>
        <v>0</v>
      </c>
      <c r="I32" s="7">
        <f t="shared" si="17"/>
        <v>64650.666666666664</v>
      </c>
      <c r="J32" s="29"/>
      <c r="K32" s="7">
        <v>0</v>
      </c>
      <c r="L32" s="29">
        <v>0</v>
      </c>
      <c r="M32" s="29">
        <f t="shared" si="18"/>
        <v>915</v>
      </c>
      <c r="N32" s="24">
        <f t="shared" si="19"/>
        <v>442.81278538812785</v>
      </c>
      <c r="O32" s="24">
        <f t="shared" si="20"/>
        <v>730.641095890411</v>
      </c>
      <c r="P32" s="24">
        <f t="shared" si="6"/>
        <v>330.39076923076925</v>
      </c>
      <c r="R32" s="21"/>
    </row>
    <row r="33" spans="1:18" s="38" customFormat="1" ht="10.5" customHeight="1">
      <c r="A33" s="4" t="s">
        <v>74</v>
      </c>
      <c r="B33" s="39"/>
      <c r="F33" s="15">
        <f>728562+19700+1400+11646+19500</f>
        <v>780808</v>
      </c>
      <c r="G33" s="22">
        <f t="shared" si="15"/>
        <v>83658.00000000012</v>
      </c>
      <c r="H33" s="22">
        <f t="shared" si="16"/>
        <v>0</v>
      </c>
      <c r="I33" s="7">
        <f t="shared" si="17"/>
        <v>65067.333333333336</v>
      </c>
      <c r="J33" s="29"/>
      <c r="K33" s="7">
        <v>0</v>
      </c>
      <c r="L33" s="29">
        <v>0</v>
      </c>
      <c r="M33" s="29">
        <f t="shared" si="18"/>
        <v>915</v>
      </c>
      <c r="N33" s="24">
        <f t="shared" si="19"/>
        <v>445.6666666666667</v>
      </c>
      <c r="O33" s="24">
        <f t="shared" si="20"/>
        <v>735.35</v>
      </c>
      <c r="P33" s="24">
        <f t="shared" si="6"/>
        <v>332.9548717948718</v>
      </c>
      <c r="R33" s="21"/>
    </row>
    <row r="34" spans="1:18" s="38" customFormat="1" ht="10.5" customHeight="1">
      <c r="A34" s="4" t="s">
        <v>75</v>
      </c>
      <c r="B34" s="39"/>
      <c r="F34" s="15">
        <f>733562+19700+1400+11646+19500</f>
        <v>785808</v>
      </c>
      <c r="G34" s="22">
        <f t="shared" si="15"/>
        <v>84193.71428571432</v>
      </c>
      <c r="H34" s="22">
        <f>K34*132</f>
        <v>0</v>
      </c>
      <c r="I34" s="7">
        <f t="shared" si="17"/>
        <v>65484</v>
      </c>
      <c r="J34" s="29"/>
      <c r="K34" s="7">
        <v>0</v>
      </c>
      <c r="L34" s="29">
        <v>0</v>
      </c>
      <c r="M34" s="29">
        <f t="shared" si="18"/>
        <v>915</v>
      </c>
      <c r="N34" s="24">
        <f t="shared" si="19"/>
        <v>448.52054794520546</v>
      </c>
      <c r="O34" s="24">
        <f t="shared" si="20"/>
        <v>740.058904109589</v>
      </c>
      <c r="P34" s="24">
        <f t="shared" si="6"/>
        <v>335.51897435897433</v>
      </c>
      <c r="R34" s="21"/>
    </row>
    <row r="35" spans="1:18" s="38" customFormat="1" ht="10.5" customHeight="1">
      <c r="A35" s="4" t="s">
        <v>76</v>
      </c>
      <c r="B35" s="39"/>
      <c r="F35" s="15">
        <f>738562+19700+1400+11646+19500</f>
        <v>790808</v>
      </c>
      <c r="G35" s="22">
        <f t="shared" si="15"/>
        <v>84729.42857142864</v>
      </c>
      <c r="H35" s="22">
        <f>K35*132</f>
        <v>0</v>
      </c>
      <c r="I35" s="7">
        <f t="shared" si="17"/>
        <v>65900.66666666667</v>
      </c>
      <c r="J35" s="29"/>
      <c r="K35" s="7">
        <v>0</v>
      </c>
      <c r="L35" s="29">
        <v>0</v>
      </c>
      <c r="M35" s="29">
        <f t="shared" si="18"/>
        <v>915</v>
      </c>
      <c r="N35" s="24">
        <f t="shared" si="19"/>
        <v>451.3744292237443</v>
      </c>
      <c r="O35" s="24">
        <f t="shared" si="20"/>
        <v>744.767808219178</v>
      </c>
      <c r="P35" s="24">
        <f t="shared" si="6"/>
        <v>338.08307692307693</v>
      </c>
      <c r="R35" s="21"/>
    </row>
    <row r="36" spans="1:17" ht="10.5" customHeight="1">
      <c r="A36" s="9"/>
      <c r="F36" s="26"/>
      <c r="G36" s="21"/>
      <c r="I36" s="22"/>
      <c r="J36" s="22"/>
      <c r="K36" s="7"/>
      <c r="L36" s="7"/>
      <c r="M36" s="7"/>
      <c r="N36" s="22"/>
      <c r="O36" s="23"/>
      <c r="Q36" s="24"/>
    </row>
    <row r="37" spans="1:13" ht="10.5" customHeight="1">
      <c r="A37" s="9" t="s">
        <v>88</v>
      </c>
      <c r="B37" s="3" t="s">
        <v>89</v>
      </c>
      <c r="C37" s="4" t="s">
        <v>90</v>
      </c>
      <c r="D37" s="3" t="s">
        <v>92</v>
      </c>
      <c r="E37" s="21" t="s">
        <v>91</v>
      </c>
      <c r="F37" s="15"/>
      <c r="G37" s="22"/>
      <c r="H37" s="22"/>
      <c r="I37" s="7"/>
      <c r="J37" s="7"/>
      <c r="K37" s="7"/>
      <c r="M37" s="23"/>
    </row>
    <row r="38" spans="1:13" ht="10.5" customHeight="1">
      <c r="A38" s="9"/>
      <c r="F38" s="15"/>
      <c r="G38" s="22"/>
      <c r="H38" s="22"/>
      <c r="I38" s="7"/>
      <c r="J38" s="7"/>
      <c r="K38" s="7"/>
      <c r="M38" s="23"/>
    </row>
    <row r="39" spans="1:13" ht="10.5" customHeight="1">
      <c r="A39" s="9"/>
      <c r="F39" s="15"/>
      <c r="G39" s="22"/>
      <c r="H39" s="22"/>
      <c r="I39" s="7"/>
      <c r="J39" s="7"/>
      <c r="K39" s="7"/>
      <c r="M39" s="23"/>
    </row>
    <row r="40" spans="1:13" ht="10.5" customHeight="1">
      <c r="A40" s="9"/>
      <c r="F40" s="15"/>
      <c r="G40" s="22"/>
      <c r="H40" s="22"/>
      <c r="I40" s="7"/>
      <c r="J40" s="7"/>
      <c r="K40" s="7"/>
      <c r="M40" s="23"/>
    </row>
    <row r="41" spans="1:13" ht="10.5" customHeight="1">
      <c r="A41" s="9"/>
      <c r="F41" s="15"/>
      <c r="G41" s="22"/>
      <c r="H41" s="22"/>
      <c r="I41" s="7"/>
      <c r="J41" s="7"/>
      <c r="K41" s="7"/>
      <c r="M41" s="23"/>
    </row>
    <row r="42" spans="1:13" ht="10.5" customHeight="1">
      <c r="A42" s="9"/>
      <c r="F42" s="15"/>
      <c r="G42" s="22"/>
      <c r="H42" s="22"/>
      <c r="I42" s="7"/>
      <c r="J42" s="7"/>
      <c r="K42" s="7"/>
      <c r="M42" s="23"/>
    </row>
    <row r="43" spans="1:13" ht="10.5" customHeight="1">
      <c r="A43" s="9"/>
      <c r="F43" s="15"/>
      <c r="G43" s="22"/>
      <c r="H43" s="22"/>
      <c r="I43" s="7"/>
      <c r="J43" s="7"/>
      <c r="K43" s="7"/>
      <c r="M43" s="23"/>
    </row>
    <row r="44" spans="1:13" ht="10.5" customHeight="1">
      <c r="A44" s="9"/>
      <c r="F44" s="15"/>
      <c r="G44" s="22"/>
      <c r="H44" s="22"/>
      <c r="I44" s="7"/>
      <c r="J44" s="7"/>
      <c r="K44" s="7"/>
      <c r="M44" s="23"/>
    </row>
    <row r="45" spans="1:13" ht="10.5" customHeight="1">
      <c r="A45" s="9"/>
      <c r="F45" s="15"/>
      <c r="G45" s="22"/>
      <c r="H45" s="22"/>
      <c r="I45" s="7"/>
      <c r="J45" s="7"/>
      <c r="K45" s="7"/>
      <c r="M45" s="23"/>
    </row>
    <row r="46" spans="1:15" ht="10.5" customHeight="1">
      <c r="A46" s="9"/>
      <c r="F46" s="4"/>
      <c r="G46" s="22"/>
      <c r="H46" s="22"/>
      <c r="I46" s="7"/>
      <c r="J46" s="31"/>
      <c r="K46" s="31"/>
      <c r="L46" s="32"/>
      <c r="M46" s="33"/>
      <c r="N46" s="34"/>
      <c r="O46" s="35"/>
    </row>
    <row r="47" spans="1:13" ht="10.5" customHeight="1">
      <c r="A47" s="36"/>
      <c r="F47" s="15"/>
      <c r="G47" s="22"/>
      <c r="H47" s="22"/>
      <c r="I47" s="7"/>
      <c r="J47" s="7"/>
      <c r="K47" s="7"/>
      <c r="M47" s="23"/>
    </row>
    <row r="48" spans="1:13" ht="10.5" customHeight="1">
      <c r="A48" s="36"/>
      <c r="F48" s="15"/>
      <c r="G48" s="22"/>
      <c r="H48" s="22"/>
      <c r="I48" s="7"/>
      <c r="J48" s="7"/>
      <c r="K48" s="7"/>
      <c r="M48" s="23"/>
    </row>
    <row r="49" spans="1:13" ht="10.5" customHeight="1">
      <c r="A49" s="36"/>
      <c r="F49" s="15"/>
      <c r="G49" s="22"/>
      <c r="H49" s="22"/>
      <c r="I49" s="7"/>
      <c r="J49" s="7"/>
      <c r="K49" s="7"/>
      <c r="M49" s="23"/>
    </row>
    <row r="50" spans="1:13" ht="10.5" customHeight="1">
      <c r="A50" s="36"/>
      <c r="F50" s="15"/>
      <c r="G50" s="22"/>
      <c r="H50" s="22"/>
      <c r="I50" s="7"/>
      <c r="J50" s="7"/>
      <c r="K50" s="7"/>
      <c r="M50" s="23"/>
    </row>
    <row r="51" spans="6:13" ht="10.5" customHeight="1">
      <c r="F51" s="15"/>
      <c r="G51" s="22"/>
      <c r="H51" s="22"/>
      <c r="I51" s="7"/>
      <c r="J51" s="7"/>
      <c r="K51" s="7"/>
      <c r="M51" s="23"/>
    </row>
    <row r="52" spans="6:13" ht="10.5" customHeight="1">
      <c r="F52" s="15"/>
      <c r="G52" s="22"/>
      <c r="H52" s="22"/>
      <c r="I52" s="7"/>
      <c r="J52" s="7"/>
      <c r="K52" s="7"/>
      <c r="M52" s="23"/>
    </row>
    <row r="53" spans="6:13" ht="10.5" customHeight="1">
      <c r="F53" s="15"/>
      <c r="G53" s="22"/>
      <c r="H53" s="22"/>
      <c r="I53" s="7"/>
      <c r="J53" s="7"/>
      <c r="K53" s="7"/>
      <c r="M53" s="23"/>
    </row>
    <row r="54" spans="6:13" ht="10.5" customHeight="1">
      <c r="F54" s="15"/>
      <c r="G54" s="22"/>
      <c r="H54" s="22"/>
      <c r="I54" s="7"/>
      <c r="J54" s="7"/>
      <c r="K54" s="7"/>
      <c r="M54" s="23"/>
    </row>
    <row r="55" spans="6:13" ht="10.5" customHeight="1">
      <c r="F55" s="15"/>
      <c r="G55" s="22"/>
      <c r="H55" s="22"/>
      <c r="I55" s="7"/>
      <c r="J55" s="7"/>
      <c r="K55" s="7"/>
      <c r="M55" s="23"/>
    </row>
    <row r="56" spans="6:13" ht="10.5" customHeight="1">
      <c r="F56" s="15"/>
      <c r="G56" s="22"/>
      <c r="H56" s="22"/>
      <c r="I56" s="7"/>
      <c r="J56" s="7"/>
      <c r="K56" s="7"/>
      <c r="M56" s="23"/>
    </row>
    <row r="57" spans="6:13" ht="10.5" customHeight="1">
      <c r="F57" s="15"/>
      <c r="G57" s="22"/>
      <c r="H57" s="22"/>
      <c r="I57" s="7"/>
      <c r="J57" s="7"/>
      <c r="K57" s="7"/>
      <c r="M57" s="23"/>
    </row>
    <row r="58" spans="6:13" ht="10.5" customHeight="1">
      <c r="F58" s="15"/>
      <c r="G58" s="22"/>
      <c r="H58" s="22"/>
      <c r="I58" s="7"/>
      <c r="J58" s="7"/>
      <c r="K58" s="7"/>
      <c r="M58" s="23"/>
    </row>
    <row r="59" spans="2:13" ht="10.5" customHeight="1">
      <c r="B59" s="20"/>
      <c r="C59" s="20"/>
      <c r="F59" s="15"/>
      <c r="G59" s="22"/>
      <c r="H59" s="22"/>
      <c r="I59" s="7"/>
      <c r="K59" s="7"/>
      <c r="M59" s="23"/>
    </row>
    <row r="60" spans="2:13" ht="10.5" customHeight="1">
      <c r="B60" s="20"/>
      <c r="C60" s="20"/>
      <c r="F60" s="15"/>
      <c r="G60" s="22"/>
      <c r="H60" s="22"/>
      <c r="I60" s="7"/>
      <c r="K60" s="7"/>
      <c r="M60" s="23"/>
    </row>
    <row r="61" spans="2:13" ht="10.5" customHeight="1">
      <c r="B61" s="20"/>
      <c r="C61" s="20"/>
      <c r="F61" s="15"/>
      <c r="G61" s="22"/>
      <c r="H61" s="22"/>
      <c r="I61" s="7"/>
      <c r="K61" s="7"/>
      <c r="M61" s="23"/>
    </row>
    <row r="62" spans="6:13" ht="10.5" customHeight="1">
      <c r="F62" s="15"/>
      <c r="G62" s="22"/>
      <c r="H62" s="22"/>
      <c r="I62" s="7"/>
      <c r="K62" s="7"/>
      <c r="M62" s="23"/>
    </row>
    <row r="63" spans="6:13" ht="10.5" customHeight="1">
      <c r="F63" s="15"/>
      <c r="G63" s="22"/>
      <c r="H63" s="22"/>
      <c r="I63" s="7"/>
      <c r="K63" s="7"/>
      <c r="M63" s="23"/>
    </row>
    <row r="64" spans="6:13" ht="10.5" customHeight="1">
      <c r="F64" s="15"/>
      <c r="G64" s="22"/>
      <c r="H64" s="22"/>
      <c r="I64" s="7"/>
      <c r="K64" s="7"/>
      <c r="M64" s="23"/>
    </row>
    <row r="65" spans="6:13" ht="10.5" customHeight="1">
      <c r="F65" s="15"/>
      <c r="G65" s="22"/>
      <c r="H65" s="22"/>
      <c r="I65" s="7"/>
      <c r="K65" s="7"/>
      <c r="M65" s="23"/>
    </row>
    <row r="66" spans="6:13" ht="10.5" customHeight="1">
      <c r="F66" s="15"/>
      <c r="G66" s="22"/>
      <c r="H66" s="22"/>
      <c r="I66" s="7"/>
      <c r="K66" s="7"/>
      <c r="M66" s="23"/>
    </row>
    <row r="67" spans="6:13" ht="10.5" customHeight="1">
      <c r="F67" s="15"/>
      <c r="G67" s="22"/>
      <c r="H67" s="22"/>
      <c r="I67" s="7"/>
      <c r="K67" s="7"/>
      <c r="M67" s="23"/>
    </row>
    <row r="68" spans="6:13" ht="10.5" customHeight="1">
      <c r="F68" s="15"/>
      <c r="G68" s="22"/>
      <c r="H68" s="22"/>
      <c r="I68" s="7"/>
      <c r="K68" s="7"/>
      <c r="M68" s="23"/>
    </row>
    <row r="69" spans="6:13" ht="10.5" customHeight="1">
      <c r="F69" s="15"/>
      <c r="G69" s="22"/>
      <c r="H69" s="22"/>
      <c r="I69" s="7"/>
      <c r="K69" s="7"/>
      <c r="M69" s="23"/>
    </row>
    <row r="70" spans="7:13" ht="10.5" customHeight="1">
      <c r="G70" s="22"/>
      <c r="H70" s="22"/>
      <c r="M70" s="23"/>
    </row>
    <row r="71" ht="10.5" customHeight="1">
      <c r="M71" s="23"/>
    </row>
    <row r="72" spans="11:13" ht="10.5" customHeight="1">
      <c r="K72" s="7"/>
      <c r="M72" s="23"/>
    </row>
    <row r="73" ht="10.5" customHeight="1">
      <c r="M73" s="23"/>
    </row>
    <row r="74" spans="11:13" ht="10.5" customHeight="1">
      <c r="K74" s="30"/>
      <c r="M74" s="23"/>
    </row>
  </sheetData>
  <sheetProtection/>
  <printOptions/>
  <pageMargins left="0.5118110236220472" right="0.11811023622047245" top="0.5511811023622047" bottom="0" header="0.31496062992125984" footer="0.31496062992125984"/>
  <pageSetup horizontalDpi="600" verticalDpi="600" orientation="landscape" paperSize="9" scale="11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72"/>
  <sheetViews>
    <sheetView zoomScalePageLayoutView="0" workbookViewId="0" topLeftCell="A1">
      <selection activeCell="A1" sqref="A1:IV16384"/>
    </sheetView>
  </sheetViews>
  <sheetFormatPr defaultColWidth="10.421875" defaultRowHeight="12.75"/>
  <cols>
    <col min="1" max="1" width="7.421875" style="4" customWidth="1"/>
    <col min="2" max="2" width="17.421875" style="26" customWidth="1"/>
    <col min="3" max="3" width="6.57421875" style="26" customWidth="1"/>
    <col min="4" max="4" width="18.140625" style="21" customWidth="1"/>
    <col min="5" max="5" width="8.7109375" style="21" customWidth="1"/>
    <col min="6" max="6" width="7.421875" style="27" bestFit="1" customWidth="1"/>
    <col min="7" max="7" width="7.57421875" style="15" customWidth="1"/>
    <col min="8" max="8" width="7.140625" style="15" customWidth="1"/>
    <col min="9" max="9" width="7.7109375" style="28" bestFit="1" customWidth="1"/>
    <col min="10" max="10" width="2.28125" style="29" customWidth="1"/>
    <col min="11" max="11" width="5.421875" style="28" customWidth="1"/>
    <col min="12" max="12" width="6.57421875" style="22" hidden="1" customWidth="1"/>
    <col min="13" max="13" width="10.7109375" style="21" hidden="1" customWidth="1"/>
    <col min="14" max="14" width="10.00390625" style="24" bestFit="1" customWidth="1"/>
    <col min="15" max="15" width="8.00390625" style="24" customWidth="1"/>
    <col min="16" max="16" width="8.57421875" style="24" customWidth="1"/>
    <col min="17" max="16384" width="10.421875" style="21" customWidth="1"/>
  </cols>
  <sheetData>
    <row r="1" spans="1:15" s="4" customFormat="1" ht="12" customHeight="1">
      <c r="A1" s="1" t="s">
        <v>98</v>
      </c>
      <c r="B1" s="2"/>
      <c r="C1" s="2"/>
      <c r="D1" s="3"/>
      <c r="F1" s="5"/>
      <c r="I1" s="6"/>
      <c r="J1" s="7"/>
      <c r="K1" s="8"/>
      <c r="M1" s="9" t="s">
        <v>0</v>
      </c>
      <c r="O1" s="10"/>
    </row>
    <row r="2" spans="1:15" s="4" customFormat="1" ht="12" customHeight="1">
      <c r="A2" s="1"/>
      <c r="B2" s="2"/>
      <c r="C2" s="2"/>
      <c r="D2" s="3"/>
      <c r="F2" s="5"/>
      <c r="I2" s="6"/>
      <c r="J2" s="7"/>
      <c r="K2" s="8"/>
      <c r="M2" s="9"/>
      <c r="O2" s="10"/>
    </row>
    <row r="3" spans="1:17" s="4" customFormat="1" ht="56.25">
      <c r="A3" s="11" t="s">
        <v>22</v>
      </c>
      <c r="B3" s="3" t="s">
        <v>3</v>
      </c>
      <c r="C3" s="3" t="s">
        <v>2</v>
      </c>
      <c r="D3" s="10" t="s">
        <v>4</v>
      </c>
      <c r="E3" s="10" t="s">
        <v>5</v>
      </c>
      <c r="F3" s="12" t="s">
        <v>6</v>
      </c>
      <c r="G3" s="13" t="s">
        <v>7</v>
      </c>
      <c r="H3" s="13" t="s">
        <v>8</v>
      </c>
      <c r="I3" s="14" t="s">
        <v>32</v>
      </c>
      <c r="J3" s="15"/>
      <c r="K3" s="13" t="s">
        <v>20</v>
      </c>
      <c r="L3" s="13"/>
      <c r="M3" s="9"/>
      <c r="N3" s="16" t="s">
        <v>9</v>
      </c>
      <c r="O3" s="17" t="s">
        <v>10</v>
      </c>
      <c r="P3" s="16" t="s">
        <v>11</v>
      </c>
      <c r="Q3" s="18"/>
    </row>
    <row r="4" spans="1:17" s="4" customFormat="1" ht="12.75">
      <c r="A4" s="11"/>
      <c r="B4" s="3"/>
      <c r="C4" s="3"/>
      <c r="D4" s="10"/>
      <c r="E4" s="10"/>
      <c r="F4" s="12"/>
      <c r="G4" s="13"/>
      <c r="H4" s="13"/>
      <c r="I4" s="14"/>
      <c r="J4" s="15"/>
      <c r="K4" s="13"/>
      <c r="L4" s="13"/>
      <c r="M4" s="9"/>
      <c r="N4" s="16"/>
      <c r="O4" s="17"/>
      <c r="P4" s="16"/>
      <c r="Q4" s="18"/>
    </row>
    <row r="5" spans="1:18" s="38" customFormat="1" ht="10.5" customHeight="1">
      <c r="A5" s="4" t="s">
        <v>55</v>
      </c>
      <c r="B5" s="37" t="s">
        <v>26</v>
      </c>
      <c r="C5" s="37" t="s">
        <v>82</v>
      </c>
      <c r="D5" s="37" t="s">
        <v>1</v>
      </c>
      <c r="E5" s="21" t="s">
        <v>91</v>
      </c>
      <c r="F5" s="15">
        <f>568864+10000+5340+12000+12000+5160+3100+9100+7166+4500+19700+1400+11646+19500</f>
        <v>689476</v>
      </c>
      <c r="G5" s="22">
        <f>F5-(F5/1.12)</f>
        <v>73872.42857142864</v>
      </c>
      <c r="H5" s="22">
        <f aca="true" t="shared" si="0" ref="H5:H14">J5*132</f>
        <v>0</v>
      </c>
      <c r="I5" s="7">
        <f aca="true" t="shared" si="1" ref="I5:I11">F5/12</f>
        <v>57456.333333333336</v>
      </c>
      <c r="J5" s="29">
        <v>0</v>
      </c>
      <c r="K5" s="29">
        <v>0</v>
      </c>
      <c r="L5" s="22">
        <f aca="true" t="shared" si="2" ref="L5:L12">J5*146</f>
        <v>0</v>
      </c>
      <c r="M5" s="23">
        <f aca="true" t="shared" si="3" ref="M5:M14">(F5-L5)/12</f>
        <v>57456.333333333336</v>
      </c>
      <c r="N5" s="24">
        <f aca="true" t="shared" si="4" ref="N5:N14">F5/1752</f>
        <v>393.5365296803653</v>
      </c>
      <c r="O5" s="24">
        <f aca="true" t="shared" si="5" ref="O5:O12">N5*1.65</f>
        <v>649.3352739726026</v>
      </c>
      <c r="P5" s="24">
        <f>(F5-(901*146))/1950</f>
        <v>286.1179487179487</v>
      </c>
      <c r="Q5" s="21"/>
      <c r="R5" s="21"/>
    </row>
    <row r="6" spans="1:18" s="38" customFormat="1" ht="10.5" customHeight="1">
      <c r="A6" s="4" t="s">
        <v>56</v>
      </c>
      <c r="B6" s="3" t="s">
        <v>79</v>
      </c>
      <c r="C6" s="4" t="s">
        <v>78</v>
      </c>
      <c r="D6" s="3" t="s">
        <v>77</v>
      </c>
      <c r="E6" s="21"/>
      <c r="F6" s="15">
        <f>584808+10000+5340+12000+12000+5160+3100+9100+7166+4500+19700+1400+11646+19500</f>
        <v>705420</v>
      </c>
      <c r="G6" s="22">
        <f>F6-(F6/1.12)</f>
        <v>75580.71428571432</v>
      </c>
      <c r="H6" s="22">
        <f t="shared" si="0"/>
        <v>0</v>
      </c>
      <c r="I6" s="7">
        <f t="shared" si="1"/>
        <v>58785</v>
      </c>
      <c r="J6" s="29">
        <v>0</v>
      </c>
      <c r="K6" s="29">
        <v>0</v>
      </c>
      <c r="L6" s="22">
        <f t="shared" si="2"/>
        <v>0</v>
      </c>
      <c r="M6" s="23">
        <f t="shared" si="3"/>
        <v>58785</v>
      </c>
      <c r="N6" s="24">
        <f t="shared" si="4"/>
        <v>402.63698630136986</v>
      </c>
      <c r="O6" s="24">
        <f t="shared" si="5"/>
        <v>664.3510273972603</v>
      </c>
      <c r="P6" s="24">
        <f aca="true" t="shared" si="6" ref="P6:P33">(F6-(901*146))/1950</f>
        <v>294.294358974359</v>
      </c>
      <c r="Q6" s="21"/>
      <c r="R6" s="21"/>
    </row>
    <row r="7" spans="1:18" s="38" customFormat="1" ht="10.5" customHeight="1">
      <c r="A7" s="4" t="s">
        <v>57</v>
      </c>
      <c r="B7" s="26"/>
      <c r="C7" s="21"/>
      <c r="F7" s="15">
        <f>656978+19700+1400+11646+19500</f>
        <v>709224</v>
      </c>
      <c r="G7" s="22">
        <f aca="true" t="shared" si="7" ref="G7:G14">F7-(F7/1.12)</f>
        <v>75988.2857142858</v>
      </c>
      <c r="H7" s="22">
        <f t="shared" si="0"/>
        <v>0</v>
      </c>
      <c r="I7" s="7">
        <f>F7/12</f>
        <v>59102</v>
      </c>
      <c r="J7" s="29">
        <v>0</v>
      </c>
      <c r="K7" s="29">
        <v>0</v>
      </c>
      <c r="L7" s="22">
        <f>J7*146</f>
        <v>0</v>
      </c>
      <c r="M7" s="23">
        <f t="shared" si="3"/>
        <v>59102</v>
      </c>
      <c r="N7" s="24">
        <f t="shared" si="4"/>
        <v>404.8082191780822</v>
      </c>
      <c r="O7" s="24">
        <f>N7*1.65</f>
        <v>667.9335616438356</v>
      </c>
      <c r="P7" s="24">
        <f t="shared" si="6"/>
        <v>296.2451282051282</v>
      </c>
      <c r="Q7" s="21"/>
      <c r="R7" s="21"/>
    </row>
    <row r="8" spans="1:18" s="38" customFormat="1" ht="10.5" customHeight="1">
      <c r="A8" s="4" t="s">
        <v>58</v>
      </c>
      <c r="B8" s="26"/>
      <c r="C8" s="21"/>
      <c r="F8" s="15">
        <f>661978+19700+1400+11646+19500</f>
        <v>714224</v>
      </c>
      <c r="G8" s="22">
        <f t="shared" si="7"/>
        <v>76524.00000000012</v>
      </c>
      <c r="H8" s="22">
        <f t="shared" si="0"/>
        <v>0</v>
      </c>
      <c r="I8" s="7">
        <f>F8/12</f>
        <v>59518.666666666664</v>
      </c>
      <c r="J8" s="29">
        <v>0</v>
      </c>
      <c r="K8" s="29">
        <v>0</v>
      </c>
      <c r="L8" s="22">
        <f>J8*146</f>
        <v>0</v>
      </c>
      <c r="M8" s="23">
        <f t="shared" si="3"/>
        <v>59518.666666666664</v>
      </c>
      <c r="N8" s="24">
        <f t="shared" si="4"/>
        <v>407.662100456621</v>
      </c>
      <c r="O8" s="24">
        <f>N8*1.65</f>
        <v>672.6424657534246</v>
      </c>
      <c r="P8" s="24">
        <f t="shared" si="6"/>
        <v>298.8092307692308</v>
      </c>
      <c r="Q8" s="21"/>
      <c r="R8" s="21"/>
    </row>
    <row r="9" spans="1:18" s="38" customFormat="1" ht="10.5" customHeight="1">
      <c r="A9" s="4" t="s">
        <v>59</v>
      </c>
      <c r="B9" s="26"/>
      <c r="C9" s="21"/>
      <c r="F9" s="15">
        <f>666978+19700+1400+11646+19500</f>
        <v>719224</v>
      </c>
      <c r="G9" s="22">
        <f t="shared" si="7"/>
        <v>77059.71428571432</v>
      </c>
      <c r="H9" s="22">
        <f t="shared" si="0"/>
        <v>0</v>
      </c>
      <c r="I9" s="7">
        <f>F9/12</f>
        <v>59935.333333333336</v>
      </c>
      <c r="J9" s="29">
        <v>0</v>
      </c>
      <c r="K9" s="29">
        <v>0</v>
      </c>
      <c r="L9" s="22">
        <f>J9*146</f>
        <v>0</v>
      </c>
      <c r="M9" s="23">
        <f t="shared" si="3"/>
        <v>59935.333333333336</v>
      </c>
      <c r="N9" s="24">
        <f t="shared" si="4"/>
        <v>410.5159817351598</v>
      </c>
      <c r="O9" s="24">
        <f>N9*1.65</f>
        <v>677.3513698630137</v>
      </c>
      <c r="P9" s="24">
        <f t="shared" si="6"/>
        <v>301.37333333333333</v>
      </c>
      <c r="Q9" s="21"/>
      <c r="R9" s="21"/>
    </row>
    <row r="10" spans="1:18" s="38" customFormat="1" ht="10.5" customHeight="1">
      <c r="A10" s="4" t="s">
        <v>60</v>
      </c>
      <c r="B10" s="26"/>
      <c r="C10" s="21"/>
      <c r="F10" s="15">
        <f>671978+19700+1400+11646+19500</f>
        <v>724224</v>
      </c>
      <c r="G10" s="22">
        <f t="shared" si="7"/>
        <v>77595.42857142864</v>
      </c>
      <c r="H10" s="22">
        <f t="shared" si="0"/>
        <v>0</v>
      </c>
      <c r="I10" s="7">
        <f>F10/12</f>
        <v>60352</v>
      </c>
      <c r="J10" s="29">
        <v>0</v>
      </c>
      <c r="K10" s="29">
        <v>0</v>
      </c>
      <c r="L10" s="22">
        <f>J10*146</f>
        <v>0</v>
      </c>
      <c r="M10" s="23">
        <f t="shared" si="3"/>
        <v>60352</v>
      </c>
      <c r="N10" s="24">
        <f t="shared" si="4"/>
        <v>413.36986301369865</v>
      </c>
      <c r="O10" s="24">
        <f>N10*1.65</f>
        <v>682.0602739726028</v>
      </c>
      <c r="P10" s="24">
        <f t="shared" si="6"/>
        <v>303.9374358974359</v>
      </c>
      <c r="Q10" s="21"/>
      <c r="R10" s="21"/>
    </row>
    <row r="11" spans="1:18" s="38" customFormat="1" ht="10.5" customHeight="1">
      <c r="A11" s="4" t="s">
        <v>61</v>
      </c>
      <c r="B11" s="26"/>
      <c r="C11" s="21"/>
      <c r="F11" s="15">
        <f>676978+19700+1400+11646+19500</f>
        <v>729224</v>
      </c>
      <c r="G11" s="22">
        <f t="shared" si="7"/>
        <v>78131.14285714296</v>
      </c>
      <c r="H11" s="22">
        <f t="shared" si="0"/>
        <v>0</v>
      </c>
      <c r="I11" s="7">
        <f t="shared" si="1"/>
        <v>60768.666666666664</v>
      </c>
      <c r="J11" s="29">
        <v>0</v>
      </c>
      <c r="K11" s="29">
        <v>0</v>
      </c>
      <c r="L11" s="22">
        <f t="shared" si="2"/>
        <v>0</v>
      </c>
      <c r="M11" s="23">
        <f t="shared" si="3"/>
        <v>60768.666666666664</v>
      </c>
      <c r="N11" s="24">
        <f t="shared" si="4"/>
        <v>416.2237442922374</v>
      </c>
      <c r="O11" s="24">
        <f t="shared" si="5"/>
        <v>686.7691780821917</v>
      </c>
      <c r="P11" s="24">
        <f t="shared" si="6"/>
        <v>306.5015384615385</v>
      </c>
      <c r="Q11" s="21"/>
      <c r="R11" s="21"/>
    </row>
    <row r="12" spans="1:18" s="38" customFormat="1" ht="10.5" customHeight="1">
      <c r="A12" s="4" t="s">
        <v>62</v>
      </c>
      <c r="B12" s="26"/>
      <c r="C12" s="21"/>
      <c r="F12" s="15">
        <f>681978+19700+1400+11646+19500</f>
        <v>734224</v>
      </c>
      <c r="G12" s="22">
        <f t="shared" si="7"/>
        <v>78666.85714285716</v>
      </c>
      <c r="H12" s="22">
        <f t="shared" si="0"/>
        <v>0</v>
      </c>
      <c r="I12" s="7">
        <f>F12/12</f>
        <v>61185.333333333336</v>
      </c>
      <c r="J12" s="29">
        <v>0</v>
      </c>
      <c r="K12" s="29">
        <v>0</v>
      </c>
      <c r="L12" s="22">
        <f t="shared" si="2"/>
        <v>0</v>
      </c>
      <c r="M12" s="23">
        <f t="shared" si="3"/>
        <v>61185.333333333336</v>
      </c>
      <c r="N12" s="24">
        <f t="shared" si="4"/>
        <v>419.07762557077626</v>
      </c>
      <c r="O12" s="24">
        <f t="shared" si="5"/>
        <v>691.4780821917808</v>
      </c>
      <c r="P12" s="24">
        <f t="shared" si="6"/>
        <v>309.065641025641</v>
      </c>
      <c r="Q12" s="21"/>
      <c r="R12" s="21"/>
    </row>
    <row r="13" spans="1:18" s="38" customFormat="1" ht="10.5" customHeight="1">
      <c r="A13" s="4" t="s">
        <v>63</v>
      </c>
      <c r="B13" s="26"/>
      <c r="C13" s="21"/>
      <c r="F13" s="15">
        <f>686978+19700+1400+11646+19500</f>
        <v>739224</v>
      </c>
      <c r="G13" s="22">
        <f t="shared" si="7"/>
        <v>79202.57142857148</v>
      </c>
      <c r="H13" s="22">
        <f t="shared" si="0"/>
        <v>0</v>
      </c>
      <c r="I13" s="7">
        <f>F13/12</f>
        <v>61602</v>
      </c>
      <c r="J13" s="29">
        <v>0</v>
      </c>
      <c r="K13" s="29">
        <v>0</v>
      </c>
      <c r="L13" s="22">
        <f>J13*146</f>
        <v>0</v>
      </c>
      <c r="M13" s="23">
        <f t="shared" si="3"/>
        <v>61602</v>
      </c>
      <c r="N13" s="24">
        <f t="shared" si="4"/>
        <v>421.93150684931504</v>
      </c>
      <c r="O13" s="24">
        <f>N13*1.65</f>
        <v>696.1869863013698</v>
      </c>
      <c r="P13" s="24">
        <f t="shared" si="6"/>
        <v>311.6297435897436</v>
      </c>
      <c r="Q13" s="21"/>
      <c r="R13" s="21"/>
    </row>
    <row r="14" spans="1:18" s="38" customFormat="1" ht="10.5" customHeight="1">
      <c r="A14" s="4" t="s">
        <v>64</v>
      </c>
      <c r="B14" s="26"/>
      <c r="C14" s="21"/>
      <c r="F14" s="15">
        <f>691978+19700+1400+11646+19500</f>
        <v>744224</v>
      </c>
      <c r="G14" s="22">
        <f t="shared" si="7"/>
        <v>79738.2857142858</v>
      </c>
      <c r="H14" s="22">
        <f t="shared" si="0"/>
        <v>0</v>
      </c>
      <c r="I14" s="7">
        <f>F14/12</f>
        <v>62018.666666666664</v>
      </c>
      <c r="J14" s="29">
        <v>0</v>
      </c>
      <c r="K14" s="29">
        <v>0</v>
      </c>
      <c r="L14" s="22">
        <f>J14*146</f>
        <v>0</v>
      </c>
      <c r="M14" s="23">
        <f t="shared" si="3"/>
        <v>62018.666666666664</v>
      </c>
      <c r="N14" s="24">
        <f t="shared" si="4"/>
        <v>424.7853881278539</v>
      </c>
      <c r="O14" s="24">
        <f>N14*1.65</f>
        <v>700.8958904109588</v>
      </c>
      <c r="P14" s="24">
        <f t="shared" si="6"/>
        <v>314.19384615384615</v>
      </c>
      <c r="Q14" s="21"/>
      <c r="R14" s="21"/>
    </row>
    <row r="15" spans="1:16" s="4" customFormat="1" ht="11.25">
      <c r="A15" s="19"/>
      <c r="B15" s="3"/>
      <c r="C15" s="3"/>
      <c r="D15" s="10"/>
      <c r="E15" s="10"/>
      <c r="F15" s="12"/>
      <c r="G15" s="13"/>
      <c r="H15" s="13"/>
      <c r="I15" s="14"/>
      <c r="J15" s="15"/>
      <c r="K15" s="14"/>
      <c r="L15" s="13"/>
      <c r="M15" s="9"/>
      <c r="N15" s="16"/>
      <c r="O15" s="17"/>
      <c r="P15" s="24"/>
    </row>
    <row r="16" spans="1:17" ht="10.5" customHeight="1">
      <c r="A16" s="4" t="s">
        <v>15</v>
      </c>
      <c r="B16" s="37" t="s">
        <v>35</v>
      </c>
      <c r="C16" s="37" t="s">
        <v>83</v>
      </c>
      <c r="D16" s="37" t="s">
        <v>31</v>
      </c>
      <c r="E16" s="21" t="s">
        <v>91</v>
      </c>
      <c r="F16" s="15">
        <f>640371+5160+3100+9100+7166+4500+19700+1400+11646+19500</f>
        <v>721643</v>
      </c>
      <c r="G16" s="22">
        <f aca="true" t="shared" si="8" ref="G16:G21">F16-(F16/1.12)</f>
        <v>77318.89285714296</v>
      </c>
      <c r="H16" s="22">
        <f aca="true" t="shared" si="9" ref="H16:H21">K16*132</f>
        <v>0</v>
      </c>
      <c r="I16" s="7">
        <f aca="true" t="shared" si="10" ref="I16:I21">F16/12</f>
        <v>60136.916666666664</v>
      </c>
      <c r="J16" s="7"/>
      <c r="K16" s="7">
        <v>0</v>
      </c>
      <c r="L16" s="22">
        <f aca="true" t="shared" si="11" ref="L16:L21">K16*146</f>
        <v>0</v>
      </c>
      <c r="M16" s="23">
        <f aca="true" t="shared" si="12" ref="M16:M21">(F16-L16)/12</f>
        <v>60136.916666666664</v>
      </c>
      <c r="N16" s="24">
        <f aca="true" t="shared" si="13" ref="N16:N21">F16/1752</f>
        <v>411.8966894977169</v>
      </c>
      <c r="O16" s="24">
        <f aca="true" t="shared" si="14" ref="O16:O21">N16*1.65</f>
        <v>679.6295376712329</v>
      </c>
      <c r="P16" s="24">
        <f t="shared" si="6"/>
        <v>302.61384615384617</v>
      </c>
      <c r="Q16" s="25"/>
    </row>
    <row r="17" spans="1:17" ht="10.5" customHeight="1">
      <c r="A17" s="4" t="s">
        <v>16</v>
      </c>
      <c r="B17" s="3" t="s">
        <v>80</v>
      </c>
      <c r="C17" s="4" t="s">
        <v>84</v>
      </c>
      <c r="D17" s="37" t="s">
        <v>81</v>
      </c>
      <c r="F17" s="15">
        <f>675745+19700+1400+11646+19500</f>
        <v>727991</v>
      </c>
      <c r="G17" s="22">
        <f t="shared" si="8"/>
        <v>77999.0357142858</v>
      </c>
      <c r="H17" s="22">
        <f t="shared" si="9"/>
        <v>0</v>
      </c>
      <c r="I17" s="7">
        <f t="shared" si="10"/>
        <v>60665.916666666664</v>
      </c>
      <c r="J17" s="7"/>
      <c r="K17" s="7">
        <v>0</v>
      </c>
      <c r="L17" s="22">
        <f t="shared" si="11"/>
        <v>0</v>
      </c>
      <c r="M17" s="23">
        <f t="shared" si="12"/>
        <v>60665.916666666664</v>
      </c>
      <c r="N17" s="24">
        <f t="shared" si="13"/>
        <v>415.51997716894977</v>
      </c>
      <c r="O17" s="24">
        <f t="shared" si="14"/>
        <v>685.607962328767</v>
      </c>
      <c r="P17" s="24">
        <f t="shared" si="6"/>
        <v>305.8692307692308</v>
      </c>
      <c r="Q17" s="25"/>
    </row>
    <row r="18" spans="1:17" ht="10.5" customHeight="1">
      <c r="A18" s="4" t="s">
        <v>17</v>
      </c>
      <c r="F18" s="15">
        <f>680745+19700+1400+11646+19500</f>
        <v>732991</v>
      </c>
      <c r="G18" s="22">
        <f t="shared" si="8"/>
        <v>78534.75000000012</v>
      </c>
      <c r="H18" s="22">
        <f t="shared" si="9"/>
        <v>0</v>
      </c>
      <c r="I18" s="7">
        <f t="shared" si="10"/>
        <v>61082.583333333336</v>
      </c>
      <c r="J18" s="7"/>
      <c r="K18" s="7">
        <v>0</v>
      </c>
      <c r="L18" s="22">
        <f t="shared" si="11"/>
        <v>0</v>
      </c>
      <c r="M18" s="23">
        <f t="shared" si="12"/>
        <v>61082.583333333336</v>
      </c>
      <c r="N18" s="24">
        <f t="shared" si="13"/>
        <v>418.3738584474886</v>
      </c>
      <c r="O18" s="24">
        <f t="shared" si="14"/>
        <v>690.3168664383561</v>
      </c>
      <c r="P18" s="24">
        <f t="shared" si="6"/>
        <v>308.43333333333334</v>
      </c>
      <c r="Q18" s="25"/>
    </row>
    <row r="19" spans="1:17" ht="10.5" customHeight="1">
      <c r="A19" s="4" t="s">
        <v>18</v>
      </c>
      <c r="F19" s="15">
        <f>685745+19700+1400+11646+19500</f>
        <v>737991</v>
      </c>
      <c r="G19" s="22">
        <f t="shared" si="8"/>
        <v>79070.46428571432</v>
      </c>
      <c r="H19" s="22">
        <f t="shared" si="9"/>
        <v>0</v>
      </c>
      <c r="I19" s="7">
        <f t="shared" si="10"/>
        <v>61499.25</v>
      </c>
      <c r="J19" s="7"/>
      <c r="K19" s="7">
        <v>0</v>
      </c>
      <c r="L19" s="22">
        <f t="shared" si="11"/>
        <v>0</v>
      </c>
      <c r="M19" s="23">
        <f t="shared" si="12"/>
        <v>61499.25</v>
      </c>
      <c r="N19" s="24">
        <f t="shared" si="13"/>
        <v>421.2277397260274</v>
      </c>
      <c r="O19" s="24">
        <f t="shared" si="14"/>
        <v>695.0257705479452</v>
      </c>
      <c r="P19" s="24">
        <f t="shared" si="6"/>
        <v>310.9974358974359</v>
      </c>
      <c r="Q19" s="25"/>
    </row>
    <row r="20" spans="1:17" ht="10.5" customHeight="1">
      <c r="A20" s="4" t="s">
        <v>19</v>
      </c>
      <c r="F20" s="15">
        <f>690745+19700+1400+11646+19500</f>
        <v>742991</v>
      </c>
      <c r="G20" s="22">
        <f t="shared" si="8"/>
        <v>79606.17857142864</v>
      </c>
      <c r="H20" s="22">
        <f t="shared" si="9"/>
        <v>0</v>
      </c>
      <c r="I20" s="7">
        <f t="shared" si="10"/>
        <v>61915.916666666664</v>
      </c>
      <c r="J20" s="7"/>
      <c r="K20" s="7">
        <v>0</v>
      </c>
      <c r="L20" s="22">
        <f t="shared" si="11"/>
        <v>0</v>
      </c>
      <c r="M20" s="23">
        <f t="shared" si="12"/>
        <v>61915.916666666664</v>
      </c>
      <c r="N20" s="24">
        <f t="shared" si="13"/>
        <v>424.0816210045662</v>
      </c>
      <c r="O20" s="24">
        <f t="shared" si="14"/>
        <v>699.7346746575342</v>
      </c>
      <c r="P20" s="24">
        <f t="shared" si="6"/>
        <v>313.5615384615385</v>
      </c>
      <c r="Q20" s="25"/>
    </row>
    <row r="21" spans="1:17" ht="10.5" customHeight="1">
      <c r="A21" s="4" t="s">
        <v>23</v>
      </c>
      <c r="F21" s="15">
        <f>695745+19700+1400+11646+19500</f>
        <v>747991</v>
      </c>
      <c r="G21" s="22">
        <f t="shared" si="8"/>
        <v>80141.89285714296</v>
      </c>
      <c r="H21" s="22">
        <f t="shared" si="9"/>
        <v>0</v>
      </c>
      <c r="I21" s="7">
        <f t="shared" si="10"/>
        <v>62332.583333333336</v>
      </c>
      <c r="J21" s="7"/>
      <c r="K21" s="7">
        <v>0</v>
      </c>
      <c r="L21" s="22">
        <f t="shared" si="11"/>
        <v>0</v>
      </c>
      <c r="M21" s="23">
        <f t="shared" si="12"/>
        <v>62332.583333333336</v>
      </c>
      <c r="N21" s="24">
        <f t="shared" si="13"/>
        <v>426.935502283105</v>
      </c>
      <c r="O21" s="24">
        <f t="shared" si="14"/>
        <v>704.4435787671232</v>
      </c>
      <c r="P21" s="24">
        <f t="shared" si="6"/>
        <v>316.125641025641</v>
      </c>
      <c r="Q21" s="25"/>
    </row>
    <row r="22" spans="1:16" ht="10.5" customHeight="1">
      <c r="A22" s="4" t="s">
        <v>37</v>
      </c>
      <c r="F22" s="15">
        <f>700745+19700+1400+11646+19500</f>
        <v>752991</v>
      </c>
      <c r="G22" s="22">
        <f>F22-(F22/1.12)</f>
        <v>80677.60714285716</v>
      </c>
      <c r="H22" s="22">
        <f>K22*132</f>
        <v>0</v>
      </c>
      <c r="I22" s="7">
        <f>F22/12</f>
        <v>62749.25</v>
      </c>
      <c r="J22" s="7"/>
      <c r="K22" s="7">
        <v>0</v>
      </c>
      <c r="L22" s="22">
        <f>K22*146</f>
        <v>0</v>
      </c>
      <c r="M22" s="23">
        <f>(F22-L22)/12</f>
        <v>62749.25</v>
      </c>
      <c r="N22" s="24">
        <f>F22/1752</f>
        <v>429.78938356164383</v>
      </c>
      <c r="O22" s="24">
        <f>N22*1.65</f>
        <v>709.1524828767123</v>
      </c>
      <c r="P22" s="24">
        <f t="shared" si="6"/>
        <v>318.6897435897436</v>
      </c>
    </row>
    <row r="23" spans="1:16" ht="10.5" customHeight="1">
      <c r="A23" s="4" t="s">
        <v>49</v>
      </c>
      <c r="F23" s="15">
        <f>705745+19700+1400+11646+19500</f>
        <v>757991</v>
      </c>
      <c r="G23" s="22">
        <f>F23-(F23/1.12)</f>
        <v>81213.32142857148</v>
      </c>
      <c r="H23" s="22">
        <f>K23*132</f>
        <v>0</v>
      </c>
      <c r="I23" s="7">
        <f>F23/12</f>
        <v>63165.916666666664</v>
      </c>
      <c r="J23" s="7"/>
      <c r="K23" s="7">
        <v>0</v>
      </c>
      <c r="L23" s="22">
        <f>K23*146</f>
        <v>0</v>
      </c>
      <c r="M23" s="23">
        <f>(F23-L23)/12</f>
        <v>63165.916666666664</v>
      </c>
      <c r="N23" s="24">
        <f>F23/1752</f>
        <v>432.64326484018267</v>
      </c>
      <c r="O23" s="24">
        <f>N23*1.65</f>
        <v>713.8613869863013</v>
      </c>
      <c r="P23" s="24">
        <f t="shared" si="6"/>
        <v>321.25384615384615</v>
      </c>
    </row>
    <row r="24" spans="1:16" ht="10.5" customHeight="1">
      <c r="A24" s="4" t="s">
        <v>52</v>
      </c>
      <c r="F24" s="15">
        <f>706245+4500+19700+1400+11646+19500</f>
        <v>762991</v>
      </c>
      <c r="G24" s="22">
        <f>F24-(F24/1.12)</f>
        <v>81749.0357142858</v>
      </c>
      <c r="H24" s="22">
        <f>K24*132</f>
        <v>0</v>
      </c>
      <c r="I24" s="7">
        <f>F24/12</f>
        <v>63582.583333333336</v>
      </c>
      <c r="J24" s="7"/>
      <c r="K24" s="7">
        <v>0</v>
      </c>
      <c r="L24" s="22">
        <f>K24*146</f>
        <v>0</v>
      </c>
      <c r="M24" s="23">
        <f>(F24-L24)/12</f>
        <v>63582.583333333336</v>
      </c>
      <c r="N24" s="24">
        <f>F24/1752</f>
        <v>435.49714611872145</v>
      </c>
      <c r="O24" s="24">
        <f>N24*1.65</f>
        <v>718.5702910958903</v>
      </c>
      <c r="P24" s="24">
        <f t="shared" si="6"/>
        <v>323.8179487179487</v>
      </c>
    </row>
    <row r="25" ht="10.5" customHeight="1">
      <c r="M25" s="23"/>
    </row>
    <row r="26" spans="1:18" s="38" customFormat="1" ht="10.5" customHeight="1">
      <c r="A26" s="4" t="s">
        <v>69</v>
      </c>
      <c r="B26" s="3" t="s">
        <v>86</v>
      </c>
      <c r="C26" s="4" t="s">
        <v>85</v>
      </c>
      <c r="D26" s="37" t="s">
        <v>87</v>
      </c>
      <c r="E26" s="21" t="s">
        <v>91</v>
      </c>
      <c r="F26" s="15">
        <f>703562+19700+1400+11646+19500</f>
        <v>755808</v>
      </c>
      <c r="G26" s="22">
        <f aca="true" t="shared" si="15" ref="G26:G33">F26-(F26/1.12)</f>
        <v>80979.42857142864</v>
      </c>
      <c r="H26" s="22">
        <f aca="true" t="shared" si="16" ref="H26:H31">K26*132</f>
        <v>0</v>
      </c>
      <c r="I26" s="7">
        <f aca="true" t="shared" si="17" ref="I26:I33">F26/12</f>
        <v>62984</v>
      </c>
      <c r="J26" s="29"/>
      <c r="K26" s="7">
        <v>0</v>
      </c>
      <c r="L26" s="29">
        <v>0</v>
      </c>
      <c r="M26" s="29">
        <f aca="true" t="shared" si="18" ref="M26:M33">892+14+9</f>
        <v>915</v>
      </c>
      <c r="N26" s="24">
        <f aca="true" t="shared" si="19" ref="N26:N33">F26/1752</f>
        <v>431.3972602739726</v>
      </c>
      <c r="O26" s="24">
        <f aca="true" t="shared" si="20" ref="O26:O33">N26*1.65</f>
        <v>711.8054794520548</v>
      </c>
      <c r="P26" s="24">
        <f t="shared" si="6"/>
        <v>320.134358974359</v>
      </c>
      <c r="R26" s="21"/>
    </row>
    <row r="27" spans="1:18" s="38" customFormat="1" ht="10.5" customHeight="1">
      <c r="A27" s="4" t="s">
        <v>70</v>
      </c>
      <c r="B27" s="26"/>
      <c r="C27" s="21"/>
      <c r="D27" s="20" t="s">
        <v>94</v>
      </c>
      <c r="F27" s="15">
        <f>708562+19700+1400+11646+19500</f>
        <v>760808</v>
      </c>
      <c r="G27" s="22">
        <f t="shared" si="15"/>
        <v>81515.14285714296</v>
      </c>
      <c r="H27" s="22">
        <f t="shared" si="16"/>
        <v>0</v>
      </c>
      <c r="I27" s="7">
        <f t="shared" si="17"/>
        <v>63400.666666666664</v>
      </c>
      <c r="J27" s="29"/>
      <c r="K27" s="7">
        <v>0</v>
      </c>
      <c r="L27" s="29">
        <v>0</v>
      </c>
      <c r="M27" s="29">
        <f t="shared" si="18"/>
        <v>915</v>
      </c>
      <c r="N27" s="24">
        <f t="shared" si="19"/>
        <v>434.2511415525114</v>
      </c>
      <c r="O27" s="24">
        <f t="shared" si="20"/>
        <v>716.5143835616437</v>
      </c>
      <c r="P27" s="24">
        <f t="shared" si="6"/>
        <v>322.6984615384615</v>
      </c>
      <c r="R27" s="21"/>
    </row>
    <row r="28" spans="1:18" s="38" customFormat="1" ht="10.5" customHeight="1">
      <c r="A28" s="4" t="s">
        <v>71</v>
      </c>
      <c r="F28" s="15">
        <f>713562+19700+1400+11646+19500</f>
        <v>765808</v>
      </c>
      <c r="G28" s="22">
        <f t="shared" si="15"/>
        <v>82050.85714285716</v>
      </c>
      <c r="H28" s="22">
        <f t="shared" si="16"/>
        <v>0</v>
      </c>
      <c r="I28" s="7">
        <f t="shared" si="17"/>
        <v>63817.333333333336</v>
      </c>
      <c r="J28" s="29"/>
      <c r="K28" s="7">
        <v>0</v>
      </c>
      <c r="L28" s="29">
        <v>0</v>
      </c>
      <c r="M28" s="29">
        <f t="shared" si="18"/>
        <v>915</v>
      </c>
      <c r="N28" s="24">
        <f t="shared" si="19"/>
        <v>437.10502283105023</v>
      </c>
      <c r="O28" s="24">
        <f t="shared" si="20"/>
        <v>721.2232876712328</v>
      </c>
      <c r="P28" s="24">
        <f t="shared" si="6"/>
        <v>325.2625641025641</v>
      </c>
      <c r="R28" s="21"/>
    </row>
    <row r="29" spans="1:18" s="38" customFormat="1" ht="10.5" customHeight="1">
      <c r="A29" s="4" t="s">
        <v>72</v>
      </c>
      <c r="B29" s="39"/>
      <c r="F29" s="15">
        <f>718562+19700+1400+11646+19500</f>
        <v>770808</v>
      </c>
      <c r="G29" s="22">
        <f t="shared" si="15"/>
        <v>82586.57142857148</v>
      </c>
      <c r="H29" s="22">
        <f t="shared" si="16"/>
        <v>0</v>
      </c>
      <c r="I29" s="7">
        <f t="shared" si="17"/>
        <v>64234</v>
      </c>
      <c r="J29" s="29"/>
      <c r="K29" s="7">
        <v>0</v>
      </c>
      <c r="L29" s="29">
        <v>0</v>
      </c>
      <c r="M29" s="29">
        <f t="shared" si="18"/>
        <v>915</v>
      </c>
      <c r="N29" s="24">
        <f t="shared" si="19"/>
        <v>439.958904109589</v>
      </c>
      <c r="O29" s="24">
        <f t="shared" si="20"/>
        <v>725.9321917808219</v>
      </c>
      <c r="P29" s="24">
        <f t="shared" si="6"/>
        <v>327.82666666666665</v>
      </c>
      <c r="R29" s="21"/>
    </row>
    <row r="30" spans="1:18" s="38" customFormat="1" ht="10.5" customHeight="1">
      <c r="A30" s="4" t="s">
        <v>73</v>
      </c>
      <c r="B30" s="39"/>
      <c r="F30" s="15">
        <f>723562+19700+1400+11646+19500</f>
        <v>775808</v>
      </c>
      <c r="G30" s="22">
        <f t="shared" si="15"/>
        <v>83122.2857142858</v>
      </c>
      <c r="H30" s="22">
        <f t="shared" si="16"/>
        <v>0</v>
      </c>
      <c r="I30" s="7">
        <f t="shared" si="17"/>
        <v>64650.666666666664</v>
      </c>
      <c r="J30" s="29"/>
      <c r="K30" s="7">
        <v>0</v>
      </c>
      <c r="L30" s="29">
        <v>0</v>
      </c>
      <c r="M30" s="29">
        <f t="shared" si="18"/>
        <v>915</v>
      </c>
      <c r="N30" s="24">
        <f t="shared" si="19"/>
        <v>442.81278538812785</v>
      </c>
      <c r="O30" s="24">
        <f t="shared" si="20"/>
        <v>730.641095890411</v>
      </c>
      <c r="P30" s="24">
        <f t="shared" si="6"/>
        <v>330.39076923076925</v>
      </c>
      <c r="R30" s="21"/>
    </row>
    <row r="31" spans="1:18" s="38" customFormat="1" ht="10.5" customHeight="1">
      <c r="A31" s="4" t="s">
        <v>74</v>
      </c>
      <c r="B31" s="39"/>
      <c r="F31" s="15">
        <f>728562+19700+1400+11646+19500</f>
        <v>780808</v>
      </c>
      <c r="G31" s="22">
        <f t="shared" si="15"/>
        <v>83658.00000000012</v>
      </c>
      <c r="H31" s="22">
        <f t="shared" si="16"/>
        <v>0</v>
      </c>
      <c r="I31" s="7">
        <f t="shared" si="17"/>
        <v>65067.333333333336</v>
      </c>
      <c r="J31" s="29"/>
      <c r="K31" s="7">
        <v>0</v>
      </c>
      <c r="L31" s="29">
        <v>0</v>
      </c>
      <c r="M31" s="29">
        <f t="shared" si="18"/>
        <v>915</v>
      </c>
      <c r="N31" s="24">
        <f t="shared" si="19"/>
        <v>445.6666666666667</v>
      </c>
      <c r="O31" s="24">
        <f t="shared" si="20"/>
        <v>735.35</v>
      </c>
      <c r="P31" s="24">
        <f t="shared" si="6"/>
        <v>332.9548717948718</v>
      </c>
      <c r="R31" s="21"/>
    </row>
    <row r="32" spans="1:18" s="38" customFormat="1" ht="10.5" customHeight="1">
      <c r="A32" s="4" t="s">
        <v>75</v>
      </c>
      <c r="B32" s="39"/>
      <c r="F32" s="15">
        <f>733562+19700+1400+11646+19500</f>
        <v>785808</v>
      </c>
      <c r="G32" s="22">
        <f t="shared" si="15"/>
        <v>84193.71428571432</v>
      </c>
      <c r="H32" s="22">
        <f>K32*132</f>
        <v>0</v>
      </c>
      <c r="I32" s="7">
        <f t="shared" si="17"/>
        <v>65484</v>
      </c>
      <c r="J32" s="29"/>
      <c r="K32" s="7">
        <v>0</v>
      </c>
      <c r="L32" s="29">
        <v>0</v>
      </c>
      <c r="M32" s="29">
        <f t="shared" si="18"/>
        <v>915</v>
      </c>
      <c r="N32" s="24">
        <f t="shared" si="19"/>
        <v>448.52054794520546</v>
      </c>
      <c r="O32" s="24">
        <f t="shared" si="20"/>
        <v>740.058904109589</v>
      </c>
      <c r="P32" s="24">
        <f t="shared" si="6"/>
        <v>335.51897435897433</v>
      </c>
      <c r="R32" s="21"/>
    </row>
    <row r="33" spans="1:18" s="38" customFormat="1" ht="10.5" customHeight="1">
      <c r="A33" s="4" t="s">
        <v>76</v>
      </c>
      <c r="B33" s="39"/>
      <c r="F33" s="15">
        <f>738562+19700+1400+11646+19500</f>
        <v>790808</v>
      </c>
      <c r="G33" s="22">
        <f t="shared" si="15"/>
        <v>84729.42857142864</v>
      </c>
      <c r="H33" s="22">
        <f>K33*132</f>
        <v>0</v>
      </c>
      <c r="I33" s="7">
        <f t="shared" si="17"/>
        <v>65900.66666666667</v>
      </c>
      <c r="J33" s="29"/>
      <c r="K33" s="7">
        <v>0</v>
      </c>
      <c r="L33" s="29">
        <v>0</v>
      </c>
      <c r="M33" s="29">
        <f t="shared" si="18"/>
        <v>915</v>
      </c>
      <c r="N33" s="24">
        <f t="shared" si="19"/>
        <v>451.3744292237443</v>
      </c>
      <c r="O33" s="24">
        <f t="shared" si="20"/>
        <v>744.767808219178</v>
      </c>
      <c r="P33" s="24">
        <f t="shared" si="6"/>
        <v>338.08307692307693</v>
      </c>
      <c r="R33" s="21"/>
    </row>
    <row r="34" spans="1:18" s="38" customFormat="1" ht="10.5" customHeight="1">
      <c r="A34" s="9"/>
      <c r="B34" s="39"/>
      <c r="F34" s="26"/>
      <c r="G34" s="21"/>
      <c r="H34" s="15"/>
      <c r="I34" s="22"/>
      <c r="J34" s="22"/>
      <c r="K34" s="7"/>
      <c r="L34" s="7"/>
      <c r="M34" s="7"/>
      <c r="N34" s="22"/>
      <c r="O34" s="23"/>
      <c r="P34" s="24"/>
      <c r="R34" s="21"/>
    </row>
    <row r="35" spans="1:17" ht="10.5" customHeight="1">
      <c r="A35" s="9" t="s">
        <v>88</v>
      </c>
      <c r="F35" s="15"/>
      <c r="G35" s="22"/>
      <c r="H35" s="22"/>
      <c r="I35" s="7"/>
      <c r="J35" s="7"/>
      <c r="K35" s="7"/>
      <c r="M35" s="23"/>
      <c r="Q35" s="24"/>
    </row>
    <row r="36" spans="1:13" ht="10.5" customHeight="1">
      <c r="A36" s="9"/>
      <c r="B36" s="3" t="s">
        <v>89</v>
      </c>
      <c r="C36" s="4" t="s">
        <v>90</v>
      </c>
      <c r="D36" s="3" t="s">
        <v>92</v>
      </c>
      <c r="E36" s="21" t="s">
        <v>91</v>
      </c>
      <c r="F36" s="15"/>
      <c r="G36" s="22"/>
      <c r="H36" s="22"/>
      <c r="I36" s="7"/>
      <c r="J36" s="7"/>
      <c r="K36" s="7"/>
      <c r="M36" s="23"/>
    </row>
    <row r="37" spans="1:13" ht="10.5" customHeight="1">
      <c r="A37" s="9"/>
      <c r="F37" s="15"/>
      <c r="G37" s="22"/>
      <c r="H37" s="22"/>
      <c r="I37" s="7"/>
      <c r="J37" s="7"/>
      <c r="K37" s="7"/>
      <c r="M37" s="23"/>
    </row>
    <row r="38" spans="1:13" ht="10.5" customHeight="1">
      <c r="A38" s="9"/>
      <c r="F38" s="15"/>
      <c r="G38" s="22"/>
      <c r="H38" s="22"/>
      <c r="I38" s="7"/>
      <c r="J38" s="7"/>
      <c r="K38" s="7"/>
      <c r="M38" s="23"/>
    </row>
    <row r="39" spans="1:13" ht="10.5" customHeight="1">
      <c r="A39" s="9"/>
      <c r="F39" s="15"/>
      <c r="G39" s="22"/>
      <c r="H39" s="22"/>
      <c r="I39" s="7"/>
      <c r="J39" s="7"/>
      <c r="K39" s="7"/>
      <c r="M39" s="23"/>
    </row>
    <row r="40" spans="1:13" ht="10.5" customHeight="1">
      <c r="A40" s="9"/>
      <c r="F40" s="15"/>
      <c r="G40" s="22"/>
      <c r="H40" s="22"/>
      <c r="I40" s="7"/>
      <c r="J40" s="7"/>
      <c r="K40" s="7"/>
      <c r="M40" s="23"/>
    </row>
    <row r="41" spans="1:13" ht="10.5" customHeight="1">
      <c r="A41" s="9"/>
      <c r="F41" s="15"/>
      <c r="G41" s="22"/>
      <c r="H41" s="22"/>
      <c r="I41" s="7"/>
      <c r="J41" s="7"/>
      <c r="K41" s="7"/>
      <c r="M41" s="23"/>
    </row>
    <row r="42" spans="1:13" ht="10.5" customHeight="1">
      <c r="A42" s="9"/>
      <c r="F42" s="15"/>
      <c r="G42" s="22"/>
      <c r="H42" s="22"/>
      <c r="I42" s="7"/>
      <c r="J42" s="7"/>
      <c r="K42" s="7"/>
      <c r="M42" s="23"/>
    </row>
    <row r="43" spans="1:13" ht="10.5" customHeight="1">
      <c r="A43" s="9"/>
      <c r="F43" s="15"/>
      <c r="G43" s="22"/>
      <c r="H43" s="22"/>
      <c r="I43" s="7"/>
      <c r="J43" s="7"/>
      <c r="K43" s="7"/>
      <c r="M43" s="23"/>
    </row>
    <row r="44" spans="1:15" ht="10.5" customHeight="1">
      <c r="A44" s="9"/>
      <c r="F44" s="4"/>
      <c r="G44" s="22"/>
      <c r="H44" s="22"/>
      <c r="I44" s="7"/>
      <c r="J44" s="31"/>
      <c r="K44" s="31"/>
      <c r="L44" s="32"/>
      <c r="M44" s="33"/>
      <c r="N44" s="34"/>
      <c r="O44" s="35"/>
    </row>
    <row r="45" spans="1:13" ht="10.5" customHeight="1">
      <c r="A45" s="36"/>
      <c r="F45" s="15"/>
      <c r="G45" s="22"/>
      <c r="H45" s="22"/>
      <c r="I45" s="7"/>
      <c r="J45" s="7"/>
      <c r="K45" s="7"/>
      <c r="M45" s="23"/>
    </row>
    <row r="46" spans="1:13" ht="10.5" customHeight="1">
      <c r="A46" s="36"/>
      <c r="F46" s="15"/>
      <c r="G46" s="22"/>
      <c r="H46" s="22"/>
      <c r="I46" s="7"/>
      <c r="J46" s="7"/>
      <c r="K46" s="7"/>
      <c r="M46" s="23"/>
    </row>
    <row r="47" spans="1:13" ht="10.5" customHeight="1">
      <c r="A47" s="36"/>
      <c r="F47" s="15"/>
      <c r="G47" s="22"/>
      <c r="H47" s="22"/>
      <c r="I47" s="7"/>
      <c r="J47" s="7"/>
      <c r="K47" s="7"/>
      <c r="M47" s="23"/>
    </row>
    <row r="48" spans="1:13" ht="10.5" customHeight="1">
      <c r="A48" s="36"/>
      <c r="F48" s="15"/>
      <c r="G48" s="22"/>
      <c r="H48" s="22"/>
      <c r="I48" s="7"/>
      <c r="J48" s="7"/>
      <c r="K48" s="7"/>
      <c r="M48" s="23"/>
    </row>
    <row r="49" spans="6:13" ht="10.5" customHeight="1">
      <c r="F49" s="15"/>
      <c r="G49" s="22"/>
      <c r="H49" s="22"/>
      <c r="I49" s="7"/>
      <c r="J49" s="7"/>
      <c r="K49" s="7"/>
      <c r="M49" s="23"/>
    </row>
    <row r="50" spans="6:13" ht="10.5" customHeight="1">
      <c r="F50" s="15"/>
      <c r="G50" s="22"/>
      <c r="H50" s="22"/>
      <c r="I50" s="7"/>
      <c r="J50" s="7"/>
      <c r="K50" s="7"/>
      <c r="M50" s="23"/>
    </row>
    <row r="51" spans="6:13" ht="10.5" customHeight="1">
      <c r="F51" s="15"/>
      <c r="G51" s="22"/>
      <c r="H51" s="22"/>
      <c r="I51" s="7"/>
      <c r="J51" s="7"/>
      <c r="K51" s="7"/>
      <c r="M51" s="23"/>
    </row>
    <row r="52" spans="6:13" ht="10.5" customHeight="1">
      <c r="F52" s="15"/>
      <c r="G52" s="22"/>
      <c r="H52" s="22"/>
      <c r="I52" s="7"/>
      <c r="J52" s="7"/>
      <c r="K52" s="7"/>
      <c r="M52" s="23"/>
    </row>
    <row r="53" spans="6:13" ht="10.5" customHeight="1">
      <c r="F53" s="15"/>
      <c r="G53" s="22"/>
      <c r="H53" s="22"/>
      <c r="I53" s="7"/>
      <c r="J53" s="7"/>
      <c r="K53" s="7"/>
      <c r="M53" s="23"/>
    </row>
    <row r="54" spans="6:13" ht="10.5" customHeight="1">
      <c r="F54" s="15"/>
      <c r="G54" s="22"/>
      <c r="H54" s="22"/>
      <c r="I54" s="7"/>
      <c r="J54" s="7"/>
      <c r="K54" s="7"/>
      <c r="M54" s="23"/>
    </row>
    <row r="55" spans="6:13" ht="10.5" customHeight="1">
      <c r="F55" s="15"/>
      <c r="G55" s="22"/>
      <c r="H55" s="22"/>
      <c r="I55" s="7"/>
      <c r="J55" s="7"/>
      <c r="K55" s="7"/>
      <c r="M55" s="23"/>
    </row>
    <row r="56" spans="6:13" ht="10.5" customHeight="1">
      <c r="F56" s="15"/>
      <c r="G56" s="22"/>
      <c r="H56" s="22"/>
      <c r="I56" s="7"/>
      <c r="J56" s="7"/>
      <c r="K56" s="7"/>
      <c r="M56" s="23"/>
    </row>
    <row r="57" spans="6:13" ht="10.5" customHeight="1">
      <c r="F57" s="15"/>
      <c r="G57" s="22"/>
      <c r="H57" s="22"/>
      <c r="I57" s="7"/>
      <c r="K57" s="7"/>
      <c r="M57" s="23"/>
    </row>
    <row r="58" spans="2:13" ht="10.5" customHeight="1">
      <c r="B58" s="20"/>
      <c r="C58" s="20"/>
      <c r="F58" s="15"/>
      <c r="G58" s="22"/>
      <c r="H58" s="22"/>
      <c r="I58" s="7"/>
      <c r="K58" s="7"/>
      <c r="M58" s="23"/>
    </row>
    <row r="59" spans="2:13" ht="10.5" customHeight="1">
      <c r="B59" s="20"/>
      <c r="C59" s="20"/>
      <c r="F59" s="15"/>
      <c r="G59" s="22"/>
      <c r="H59" s="22"/>
      <c r="I59" s="7"/>
      <c r="K59" s="7"/>
      <c r="M59" s="23"/>
    </row>
    <row r="60" spans="2:13" ht="10.5" customHeight="1">
      <c r="B60" s="20"/>
      <c r="C60" s="20"/>
      <c r="F60" s="15"/>
      <c r="G60" s="22"/>
      <c r="H60" s="22"/>
      <c r="I60" s="7"/>
      <c r="K60" s="7"/>
      <c r="M60" s="23"/>
    </row>
    <row r="61" spans="6:13" ht="10.5" customHeight="1">
      <c r="F61" s="15"/>
      <c r="G61" s="22"/>
      <c r="H61" s="22"/>
      <c r="I61" s="7"/>
      <c r="K61" s="7"/>
      <c r="M61" s="23"/>
    </row>
    <row r="62" spans="6:13" ht="10.5" customHeight="1">
      <c r="F62" s="15"/>
      <c r="G62" s="22"/>
      <c r="H62" s="22"/>
      <c r="I62" s="7"/>
      <c r="K62" s="7"/>
      <c r="M62" s="23"/>
    </row>
    <row r="63" spans="6:13" ht="10.5" customHeight="1">
      <c r="F63" s="15"/>
      <c r="G63" s="22"/>
      <c r="H63" s="22"/>
      <c r="I63" s="7"/>
      <c r="K63" s="7"/>
      <c r="M63" s="23"/>
    </row>
    <row r="64" spans="6:13" ht="10.5" customHeight="1">
      <c r="F64" s="15"/>
      <c r="G64" s="22"/>
      <c r="H64" s="22"/>
      <c r="I64" s="7"/>
      <c r="K64" s="7"/>
      <c r="M64" s="23"/>
    </row>
    <row r="65" spans="6:13" ht="10.5" customHeight="1">
      <c r="F65" s="15"/>
      <c r="G65" s="22"/>
      <c r="H65" s="22"/>
      <c r="I65" s="7"/>
      <c r="K65" s="7"/>
      <c r="M65" s="23"/>
    </row>
    <row r="66" spans="6:13" ht="10.5" customHeight="1">
      <c r="F66" s="15"/>
      <c r="G66" s="22"/>
      <c r="H66" s="22"/>
      <c r="I66" s="7"/>
      <c r="K66" s="7"/>
      <c r="M66" s="23"/>
    </row>
    <row r="67" spans="6:13" ht="10.5" customHeight="1">
      <c r="F67" s="15"/>
      <c r="G67" s="22"/>
      <c r="H67" s="22"/>
      <c r="I67" s="7"/>
      <c r="K67" s="7"/>
      <c r="M67" s="23"/>
    </row>
    <row r="68" spans="7:13" ht="10.5" customHeight="1">
      <c r="G68" s="22"/>
      <c r="H68" s="22"/>
      <c r="M68" s="23"/>
    </row>
    <row r="69" ht="10.5" customHeight="1">
      <c r="M69" s="23"/>
    </row>
    <row r="70" spans="11:13" ht="10.5" customHeight="1">
      <c r="K70" s="7"/>
      <c r="M70" s="23"/>
    </row>
    <row r="71" ht="10.5" customHeight="1">
      <c r="M71" s="23"/>
    </row>
    <row r="72" spans="11:13" ht="10.5" customHeight="1">
      <c r="K72" s="30"/>
      <c r="M72" s="23"/>
    </row>
    <row r="73" ht="10.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PageLayoutView="0" workbookViewId="0" topLeftCell="A1">
      <selection activeCell="F34" sqref="F34"/>
    </sheetView>
  </sheetViews>
  <sheetFormatPr defaultColWidth="10.421875" defaultRowHeight="12.75"/>
  <cols>
    <col min="1" max="1" width="7.421875" style="4" customWidth="1"/>
    <col min="2" max="2" width="17.421875" style="26" customWidth="1"/>
    <col min="3" max="3" width="6.57421875" style="26" customWidth="1"/>
    <col min="4" max="4" width="18.140625" style="21" customWidth="1"/>
    <col min="5" max="5" width="8.7109375" style="21" customWidth="1"/>
    <col min="6" max="6" width="7.421875" style="27" bestFit="1" customWidth="1"/>
    <col min="7" max="7" width="7.57421875" style="15" customWidth="1"/>
    <col min="8" max="8" width="7.140625" style="15" customWidth="1"/>
    <col min="9" max="9" width="7.7109375" style="28" bestFit="1" customWidth="1"/>
    <col min="10" max="10" width="2.28125" style="29" customWidth="1"/>
    <col min="11" max="11" width="5.421875" style="28" customWidth="1"/>
    <col min="12" max="12" width="6.57421875" style="22" hidden="1" customWidth="1"/>
    <col min="13" max="13" width="10.7109375" style="21" hidden="1" customWidth="1"/>
    <col min="14" max="14" width="10.00390625" style="24" bestFit="1" customWidth="1"/>
    <col min="15" max="15" width="8.00390625" style="24" customWidth="1"/>
    <col min="16" max="16" width="8.57421875" style="24" customWidth="1"/>
    <col min="17" max="16384" width="10.421875" style="21" customWidth="1"/>
  </cols>
  <sheetData>
    <row r="1" spans="1:15" s="4" customFormat="1" ht="12" customHeight="1">
      <c r="A1" s="1" t="s">
        <v>99</v>
      </c>
      <c r="B1" s="2"/>
      <c r="C1" s="2"/>
      <c r="D1" s="3"/>
      <c r="F1" s="5"/>
      <c r="I1" s="6"/>
      <c r="J1" s="7"/>
      <c r="K1" s="8"/>
      <c r="M1" s="9" t="s">
        <v>0</v>
      </c>
      <c r="O1" s="10"/>
    </row>
    <row r="2" spans="1:15" s="4" customFormat="1" ht="12" customHeight="1">
      <c r="A2" s="1"/>
      <c r="B2" s="2"/>
      <c r="C2" s="2"/>
      <c r="D2" s="3"/>
      <c r="F2" s="5"/>
      <c r="I2" s="6"/>
      <c r="J2" s="7"/>
      <c r="K2" s="8"/>
      <c r="M2" s="9"/>
      <c r="O2" s="10"/>
    </row>
    <row r="3" spans="1:17" s="4" customFormat="1" ht="56.25">
      <c r="A3" s="11" t="s">
        <v>22</v>
      </c>
      <c r="B3" s="3" t="s">
        <v>3</v>
      </c>
      <c r="C3" s="3" t="s">
        <v>2</v>
      </c>
      <c r="D3" s="10" t="s">
        <v>4</v>
      </c>
      <c r="E3" s="10" t="s">
        <v>5</v>
      </c>
      <c r="F3" s="12" t="s">
        <v>6</v>
      </c>
      <c r="G3" s="13" t="s">
        <v>7</v>
      </c>
      <c r="H3" s="13" t="s">
        <v>8</v>
      </c>
      <c r="I3" s="14" t="s">
        <v>32</v>
      </c>
      <c r="J3" s="15"/>
      <c r="K3" s="13" t="s">
        <v>20</v>
      </c>
      <c r="L3" s="13"/>
      <c r="M3" s="9"/>
      <c r="N3" s="16" t="s">
        <v>9</v>
      </c>
      <c r="O3" s="17" t="s">
        <v>10</v>
      </c>
      <c r="P3" s="16" t="s">
        <v>11</v>
      </c>
      <c r="Q3" s="18"/>
    </row>
    <row r="4" spans="1:17" s="4" customFormat="1" ht="12.75">
      <c r="A4" s="11"/>
      <c r="B4" s="3"/>
      <c r="C4" s="3"/>
      <c r="D4" s="10"/>
      <c r="E4" s="10"/>
      <c r="F4" s="12"/>
      <c r="G4" s="13"/>
      <c r="H4" s="13"/>
      <c r="I4" s="14"/>
      <c r="J4" s="15"/>
      <c r="K4" s="13"/>
      <c r="L4" s="13"/>
      <c r="M4" s="9"/>
      <c r="N4" s="16"/>
      <c r="O4" s="17"/>
      <c r="P4" s="16"/>
      <c r="Q4" s="18"/>
    </row>
    <row r="5" spans="1:18" s="38" customFormat="1" ht="10.5" customHeight="1">
      <c r="A5" s="4" t="s">
        <v>55</v>
      </c>
      <c r="B5" s="37" t="s">
        <v>26</v>
      </c>
      <c r="C5" s="37" t="s">
        <v>82</v>
      </c>
      <c r="D5" s="37" t="s">
        <v>1</v>
      </c>
      <c r="E5" s="21" t="s">
        <v>91</v>
      </c>
      <c r="F5" s="15">
        <f>568864+10000+5340+12000+12000+5160+3100+9100+7166+4500+19700+1400+11646+19500+25000</f>
        <v>714476</v>
      </c>
      <c r="G5" s="22">
        <f>F5-(F5/1.12)</f>
        <v>76551.00000000012</v>
      </c>
      <c r="H5" s="22">
        <f aca="true" t="shared" si="0" ref="H5:H14">J5*132</f>
        <v>0</v>
      </c>
      <c r="I5" s="7">
        <f aca="true" t="shared" si="1" ref="I5:I11">F5/12</f>
        <v>59539.666666666664</v>
      </c>
      <c r="J5" s="29">
        <v>0</v>
      </c>
      <c r="K5" s="29">
        <v>0</v>
      </c>
      <c r="L5" s="22">
        <f aca="true" t="shared" si="2" ref="L5:L12">J5*146</f>
        <v>0</v>
      </c>
      <c r="M5" s="23">
        <f aca="true" t="shared" si="3" ref="M5:M14">(F5-L5)/12</f>
        <v>59539.666666666664</v>
      </c>
      <c r="N5" s="24">
        <f aca="true" t="shared" si="4" ref="N5:N14">F5/1752</f>
        <v>407.80593607305934</v>
      </c>
      <c r="O5" s="24">
        <f aca="true" t="shared" si="5" ref="O5:O12">N5*1.65</f>
        <v>672.8797945205479</v>
      </c>
      <c r="P5" s="24">
        <f>(F5-(901*146))/1950</f>
        <v>298.9384615384615</v>
      </c>
      <c r="Q5" s="21"/>
      <c r="R5" s="21"/>
    </row>
    <row r="6" spans="1:18" s="38" customFormat="1" ht="10.5" customHeight="1">
      <c r="A6" s="4" t="s">
        <v>56</v>
      </c>
      <c r="B6" s="3" t="s">
        <v>79</v>
      </c>
      <c r="C6" s="4" t="s">
        <v>78</v>
      </c>
      <c r="D6" s="3" t="s">
        <v>77</v>
      </c>
      <c r="E6" s="21"/>
      <c r="F6" s="15">
        <f>584808+10000+5340+12000+12000+5160+3100+9100+7166+4500+19700+1400+11646+19500+25000</f>
        <v>730420</v>
      </c>
      <c r="G6" s="22">
        <f>F6-(F6/1.12)</f>
        <v>78259.2857142858</v>
      </c>
      <c r="H6" s="22">
        <f t="shared" si="0"/>
        <v>0</v>
      </c>
      <c r="I6" s="7">
        <f t="shared" si="1"/>
        <v>60868.333333333336</v>
      </c>
      <c r="J6" s="29">
        <v>0</v>
      </c>
      <c r="K6" s="29">
        <v>0</v>
      </c>
      <c r="L6" s="22">
        <f t="shared" si="2"/>
        <v>0</v>
      </c>
      <c r="M6" s="23">
        <f t="shared" si="3"/>
        <v>60868.333333333336</v>
      </c>
      <c r="N6" s="24">
        <f t="shared" si="4"/>
        <v>416.9063926940639</v>
      </c>
      <c r="O6" s="24">
        <f t="shared" si="5"/>
        <v>687.8955479452054</v>
      </c>
      <c r="P6" s="24">
        <f aca="true" t="shared" si="6" ref="P6:P33">(F6-(901*146))/1950</f>
        <v>307.1148717948718</v>
      </c>
      <c r="Q6" s="21"/>
      <c r="R6" s="21"/>
    </row>
    <row r="7" spans="1:18" s="38" customFormat="1" ht="10.5" customHeight="1">
      <c r="A7" s="4" t="s">
        <v>57</v>
      </c>
      <c r="B7" s="26"/>
      <c r="C7" s="21"/>
      <c r="F7" s="15">
        <f>656978+19700+1400+11646+19500+25000</f>
        <v>734224</v>
      </c>
      <c r="G7" s="22">
        <f aca="true" t="shared" si="7" ref="G7:G14">F7-(F7/1.12)</f>
        <v>78666.85714285716</v>
      </c>
      <c r="H7" s="22">
        <f t="shared" si="0"/>
        <v>0</v>
      </c>
      <c r="I7" s="7">
        <f>F7/12</f>
        <v>61185.333333333336</v>
      </c>
      <c r="J7" s="29">
        <v>0</v>
      </c>
      <c r="K7" s="29">
        <v>0</v>
      </c>
      <c r="L7" s="22">
        <f>J7*146</f>
        <v>0</v>
      </c>
      <c r="M7" s="23">
        <f t="shared" si="3"/>
        <v>61185.333333333336</v>
      </c>
      <c r="N7" s="24">
        <f t="shared" si="4"/>
        <v>419.07762557077626</v>
      </c>
      <c r="O7" s="24">
        <f>N7*1.65</f>
        <v>691.4780821917808</v>
      </c>
      <c r="P7" s="24">
        <f t="shared" si="6"/>
        <v>309.065641025641</v>
      </c>
      <c r="Q7" s="21"/>
      <c r="R7" s="21"/>
    </row>
    <row r="8" spans="1:18" s="38" customFormat="1" ht="10.5" customHeight="1">
      <c r="A8" s="4" t="s">
        <v>58</v>
      </c>
      <c r="B8" s="26"/>
      <c r="C8" s="21"/>
      <c r="F8" s="15">
        <f>661978+19700+1400+11646+19500+25000</f>
        <v>739224</v>
      </c>
      <c r="G8" s="22">
        <f t="shared" si="7"/>
        <v>79202.57142857148</v>
      </c>
      <c r="H8" s="22">
        <f t="shared" si="0"/>
        <v>0</v>
      </c>
      <c r="I8" s="7">
        <f>F8/12</f>
        <v>61602</v>
      </c>
      <c r="J8" s="29">
        <v>0</v>
      </c>
      <c r="K8" s="29">
        <v>0</v>
      </c>
      <c r="L8" s="22">
        <f>J8*146</f>
        <v>0</v>
      </c>
      <c r="M8" s="23">
        <f t="shared" si="3"/>
        <v>61602</v>
      </c>
      <c r="N8" s="24">
        <f t="shared" si="4"/>
        <v>421.93150684931504</v>
      </c>
      <c r="O8" s="24">
        <f>N8*1.65</f>
        <v>696.1869863013698</v>
      </c>
      <c r="P8" s="24">
        <f t="shared" si="6"/>
        <v>311.6297435897436</v>
      </c>
      <c r="Q8" s="21"/>
      <c r="R8" s="21"/>
    </row>
    <row r="9" spans="1:18" s="38" customFormat="1" ht="10.5" customHeight="1">
      <c r="A9" s="4" t="s">
        <v>59</v>
      </c>
      <c r="B9" s="26"/>
      <c r="C9" s="21"/>
      <c r="F9" s="15">
        <f>666978+19700+1400+11646+19500+25000</f>
        <v>744224</v>
      </c>
      <c r="G9" s="22">
        <f t="shared" si="7"/>
        <v>79738.2857142858</v>
      </c>
      <c r="H9" s="22">
        <f t="shared" si="0"/>
        <v>0</v>
      </c>
      <c r="I9" s="7">
        <f>F9/12</f>
        <v>62018.666666666664</v>
      </c>
      <c r="J9" s="29">
        <v>0</v>
      </c>
      <c r="K9" s="29">
        <v>0</v>
      </c>
      <c r="L9" s="22">
        <f>J9*146</f>
        <v>0</v>
      </c>
      <c r="M9" s="23">
        <f t="shared" si="3"/>
        <v>62018.666666666664</v>
      </c>
      <c r="N9" s="24">
        <f t="shared" si="4"/>
        <v>424.7853881278539</v>
      </c>
      <c r="O9" s="24">
        <f>N9*1.65</f>
        <v>700.8958904109588</v>
      </c>
      <c r="P9" s="24">
        <f t="shared" si="6"/>
        <v>314.19384615384615</v>
      </c>
      <c r="Q9" s="21"/>
      <c r="R9" s="21"/>
    </row>
    <row r="10" spans="1:18" s="38" customFormat="1" ht="10.5" customHeight="1">
      <c r="A10" s="4" t="s">
        <v>60</v>
      </c>
      <c r="B10" s="26"/>
      <c r="C10" s="21"/>
      <c r="F10" s="15">
        <f>671978+19700+1400+11646+19500+25000</f>
        <v>749224</v>
      </c>
      <c r="G10" s="22">
        <f t="shared" si="7"/>
        <v>80274.00000000012</v>
      </c>
      <c r="H10" s="22">
        <f t="shared" si="0"/>
        <v>0</v>
      </c>
      <c r="I10" s="7">
        <f>F10/12</f>
        <v>62435.333333333336</v>
      </c>
      <c r="J10" s="29">
        <v>0</v>
      </c>
      <c r="K10" s="29">
        <v>0</v>
      </c>
      <c r="L10" s="22">
        <f>J10*146</f>
        <v>0</v>
      </c>
      <c r="M10" s="23">
        <f t="shared" si="3"/>
        <v>62435.333333333336</v>
      </c>
      <c r="N10" s="24">
        <f t="shared" si="4"/>
        <v>427.6392694063927</v>
      </c>
      <c r="O10" s="24">
        <f>N10*1.65</f>
        <v>705.6047945205479</v>
      </c>
      <c r="P10" s="24">
        <f t="shared" si="6"/>
        <v>316.7579487179487</v>
      </c>
      <c r="Q10" s="21"/>
      <c r="R10" s="21"/>
    </row>
    <row r="11" spans="1:18" s="38" customFormat="1" ht="10.5" customHeight="1">
      <c r="A11" s="4" t="s">
        <v>61</v>
      </c>
      <c r="B11" s="26"/>
      <c r="C11" s="21"/>
      <c r="F11" s="15">
        <f>676978+19700+1400+11646+19500+25000</f>
        <v>754224</v>
      </c>
      <c r="G11" s="22">
        <f t="shared" si="7"/>
        <v>80809.71428571432</v>
      </c>
      <c r="H11" s="22">
        <f t="shared" si="0"/>
        <v>0</v>
      </c>
      <c r="I11" s="7">
        <f t="shared" si="1"/>
        <v>62852</v>
      </c>
      <c r="J11" s="29">
        <v>0</v>
      </c>
      <c r="K11" s="29">
        <v>0</v>
      </c>
      <c r="L11" s="22">
        <f t="shared" si="2"/>
        <v>0</v>
      </c>
      <c r="M11" s="23">
        <f t="shared" si="3"/>
        <v>62852</v>
      </c>
      <c r="N11" s="24">
        <f t="shared" si="4"/>
        <v>430.4931506849315</v>
      </c>
      <c r="O11" s="24">
        <f t="shared" si="5"/>
        <v>710.313698630137</v>
      </c>
      <c r="P11" s="24">
        <f t="shared" si="6"/>
        <v>319.3220512820513</v>
      </c>
      <c r="Q11" s="21"/>
      <c r="R11" s="21"/>
    </row>
    <row r="12" spans="1:18" s="38" customFormat="1" ht="10.5" customHeight="1">
      <c r="A12" s="4" t="s">
        <v>62</v>
      </c>
      <c r="B12" s="26"/>
      <c r="C12" s="21"/>
      <c r="F12" s="15">
        <f>681978+19700+1400+11646+19500+25000</f>
        <v>759224</v>
      </c>
      <c r="G12" s="22">
        <f t="shared" si="7"/>
        <v>81345.42857142864</v>
      </c>
      <c r="H12" s="22">
        <f t="shared" si="0"/>
        <v>0</v>
      </c>
      <c r="I12" s="7">
        <f>F12/12</f>
        <v>63268.666666666664</v>
      </c>
      <c r="J12" s="29">
        <v>0</v>
      </c>
      <c r="K12" s="29">
        <v>0</v>
      </c>
      <c r="L12" s="22">
        <f t="shared" si="2"/>
        <v>0</v>
      </c>
      <c r="M12" s="23">
        <f t="shared" si="3"/>
        <v>63268.666666666664</v>
      </c>
      <c r="N12" s="24">
        <f t="shared" si="4"/>
        <v>433.34703196347033</v>
      </c>
      <c r="O12" s="24">
        <f t="shared" si="5"/>
        <v>715.022602739726</v>
      </c>
      <c r="P12" s="24">
        <f t="shared" si="6"/>
        <v>321.88615384615383</v>
      </c>
      <c r="Q12" s="21"/>
      <c r="R12" s="21"/>
    </row>
    <row r="13" spans="1:18" s="38" customFormat="1" ht="10.5" customHeight="1">
      <c r="A13" s="4" t="s">
        <v>63</v>
      </c>
      <c r="B13" s="26"/>
      <c r="C13" s="21"/>
      <c r="F13" s="15">
        <f>686978+19700+1400+11646+19500+25000</f>
        <v>764224</v>
      </c>
      <c r="G13" s="22">
        <f t="shared" si="7"/>
        <v>81881.14285714296</v>
      </c>
      <c r="H13" s="22">
        <f t="shared" si="0"/>
        <v>0</v>
      </c>
      <c r="I13" s="7">
        <f>F13/12</f>
        <v>63685.333333333336</v>
      </c>
      <c r="J13" s="29">
        <v>0</v>
      </c>
      <c r="K13" s="29">
        <v>0</v>
      </c>
      <c r="L13" s="22">
        <f>J13*146</f>
        <v>0</v>
      </c>
      <c r="M13" s="23">
        <f t="shared" si="3"/>
        <v>63685.333333333336</v>
      </c>
      <c r="N13" s="24">
        <f t="shared" si="4"/>
        <v>436.2009132420091</v>
      </c>
      <c r="O13" s="24">
        <f>N13*1.65</f>
        <v>719.731506849315</v>
      </c>
      <c r="P13" s="24">
        <f t="shared" si="6"/>
        <v>324.45025641025643</v>
      </c>
      <c r="Q13" s="21"/>
      <c r="R13" s="21"/>
    </row>
    <row r="14" spans="1:18" s="38" customFormat="1" ht="10.5" customHeight="1">
      <c r="A14" s="4" t="s">
        <v>64</v>
      </c>
      <c r="B14" s="26"/>
      <c r="C14" s="21"/>
      <c r="F14" s="15">
        <f>691978+19700+1400+11646+19500+25000</f>
        <v>769224</v>
      </c>
      <c r="G14" s="22">
        <f t="shared" si="7"/>
        <v>82416.85714285716</v>
      </c>
      <c r="H14" s="22">
        <f t="shared" si="0"/>
        <v>0</v>
      </c>
      <c r="I14" s="7">
        <f>F14/12</f>
        <v>64102</v>
      </c>
      <c r="J14" s="29">
        <v>0</v>
      </c>
      <c r="K14" s="29">
        <v>0</v>
      </c>
      <c r="L14" s="22">
        <f>J14*146</f>
        <v>0</v>
      </c>
      <c r="M14" s="23">
        <f t="shared" si="3"/>
        <v>64102</v>
      </c>
      <c r="N14" s="24">
        <f t="shared" si="4"/>
        <v>439.05479452054794</v>
      </c>
      <c r="O14" s="24">
        <f>N14*1.65</f>
        <v>724.4404109589041</v>
      </c>
      <c r="P14" s="24">
        <f t="shared" si="6"/>
        <v>327.01435897435897</v>
      </c>
      <c r="Q14" s="21"/>
      <c r="R14" s="21"/>
    </row>
    <row r="15" spans="1:16" s="4" customFormat="1" ht="11.25">
      <c r="A15" s="19"/>
      <c r="B15" s="3"/>
      <c r="C15" s="3"/>
      <c r="D15" s="10"/>
      <c r="E15" s="10"/>
      <c r="F15" s="12"/>
      <c r="G15" s="13"/>
      <c r="H15" s="13"/>
      <c r="I15" s="14"/>
      <c r="J15" s="15"/>
      <c r="K15" s="14"/>
      <c r="L15" s="13"/>
      <c r="M15" s="9"/>
      <c r="N15" s="16"/>
      <c r="O15" s="17"/>
      <c r="P15" s="24"/>
    </row>
    <row r="16" spans="1:17" ht="10.5" customHeight="1">
      <c r="A16" s="4" t="s">
        <v>15</v>
      </c>
      <c r="B16" s="37" t="s">
        <v>35</v>
      </c>
      <c r="C16" s="37" t="s">
        <v>83</v>
      </c>
      <c r="D16" s="37" t="s">
        <v>31</v>
      </c>
      <c r="E16" s="21" t="s">
        <v>91</v>
      </c>
      <c r="F16" s="15">
        <f>640371+5160+3100+9100+7166+4500+19700+1400+11646+19500+25000</f>
        <v>746643</v>
      </c>
      <c r="G16" s="22">
        <f aca="true" t="shared" si="8" ref="G16:G21">F16-(F16/1.12)</f>
        <v>79997.46428571432</v>
      </c>
      <c r="H16" s="22">
        <f aca="true" t="shared" si="9" ref="H16:H21">K16*132</f>
        <v>0</v>
      </c>
      <c r="I16" s="7">
        <f aca="true" t="shared" si="10" ref="I16:I21">F16/12</f>
        <v>62220.25</v>
      </c>
      <c r="J16" s="7"/>
      <c r="K16" s="7">
        <v>0</v>
      </c>
      <c r="L16" s="22">
        <f aca="true" t="shared" si="11" ref="L16:L21">K16*146</f>
        <v>0</v>
      </c>
      <c r="M16" s="23">
        <f aca="true" t="shared" si="12" ref="M16:M21">(F16-L16)/12</f>
        <v>62220.25</v>
      </c>
      <c r="N16" s="24">
        <f aca="true" t="shared" si="13" ref="N16:N21">F16/1752</f>
        <v>426.166095890411</v>
      </c>
      <c r="O16" s="24">
        <f aca="true" t="shared" si="14" ref="O16:O21">N16*1.65</f>
        <v>703.174058219178</v>
      </c>
      <c r="P16" s="24">
        <f t="shared" si="6"/>
        <v>315.434358974359</v>
      </c>
      <c r="Q16" s="25"/>
    </row>
    <row r="17" spans="1:17" ht="10.5" customHeight="1">
      <c r="A17" s="4" t="s">
        <v>16</v>
      </c>
      <c r="B17" s="3" t="s">
        <v>80</v>
      </c>
      <c r="C17" s="4" t="s">
        <v>84</v>
      </c>
      <c r="D17" s="37" t="s">
        <v>81</v>
      </c>
      <c r="F17" s="15">
        <f>675745+19700+1400+11646+19500+25000</f>
        <v>752991</v>
      </c>
      <c r="G17" s="22">
        <f t="shared" si="8"/>
        <v>80677.60714285716</v>
      </c>
      <c r="H17" s="22">
        <f t="shared" si="9"/>
        <v>0</v>
      </c>
      <c r="I17" s="7">
        <f t="shared" si="10"/>
        <v>62749.25</v>
      </c>
      <c r="J17" s="7"/>
      <c r="K17" s="7">
        <v>0</v>
      </c>
      <c r="L17" s="22">
        <f t="shared" si="11"/>
        <v>0</v>
      </c>
      <c r="M17" s="23">
        <f t="shared" si="12"/>
        <v>62749.25</v>
      </c>
      <c r="N17" s="24">
        <f t="shared" si="13"/>
        <v>429.78938356164383</v>
      </c>
      <c r="O17" s="24">
        <f t="shared" si="14"/>
        <v>709.1524828767123</v>
      </c>
      <c r="P17" s="24">
        <f t="shared" si="6"/>
        <v>318.6897435897436</v>
      </c>
      <c r="Q17" s="25"/>
    </row>
    <row r="18" spans="1:17" ht="10.5" customHeight="1">
      <c r="A18" s="4" t="s">
        <v>17</v>
      </c>
      <c r="F18" s="15">
        <f>680745+19700+1400+11646+19500+25000</f>
        <v>757991</v>
      </c>
      <c r="G18" s="22">
        <f t="shared" si="8"/>
        <v>81213.32142857148</v>
      </c>
      <c r="H18" s="22">
        <f t="shared" si="9"/>
        <v>0</v>
      </c>
      <c r="I18" s="7">
        <f t="shared" si="10"/>
        <v>63165.916666666664</v>
      </c>
      <c r="J18" s="7"/>
      <c r="K18" s="7">
        <v>0</v>
      </c>
      <c r="L18" s="22">
        <f t="shared" si="11"/>
        <v>0</v>
      </c>
      <c r="M18" s="23">
        <f t="shared" si="12"/>
        <v>63165.916666666664</v>
      </c>
      <c r="N18" s="24">
        <f t="shared" si="13"/>
        <v>432.64326484018267</v>
      </c>
      <c r="O18" s="24">
        <f t="shared" si="14"/>
        <v>713.8613869863013</v>
      </c>
      <c r="P18" s="24">
        <f t="shared" si="6"/>
        <v>321.25384615384615</v>
      </c>
      <c r="Q18" s="25"/>
    </row>
    <row r="19" spans="1:17" ht="10.5" customHeight="1">
      <c r="A19" s="4" t="s">
        <v>18</v>
      </c>
      <c r="F19" s="15">
        <f>685745+19700+1400+11646+19500+25000</f>
        <v>762991</v>
      </c>
      <c r="G19" s="22">
        <f t="shared" si="8"/>
        <v>81749.0357142858</v>
      </c>
      <c r="H19" s="22">
        <f t="shared" si="9"/>
        <v>0</v>
      </c>
      <c r="I19" s="7">
        <f t="shared" si="10"/>
        <v>63582.583333333336</v>
      </c>
      <c r="J19" s="7"/>
      <c r="K19" s="7">
        <v>0</v>
      </c>
      <c r="L19" s="22">
        <f t="shared" si="11"/>
        <v>0</v>
      </c>
      <c r="M19" s="23">
        <f t="shared" si="12"/>
        <v>63582.583333333336</v>
      </c>
      <c r="N19" s="24">
        <f t="shared" si="13"/>
        <v>435.49714611872145</v>
      </c>
      <c r="O19" s="24">
        <f t="shared" si="14"/>
        <v>718.5702910958903</v>
      </c>
      <c r="P19" s="24">
        <f t="shared" si="6"/>
        <v>323.8179487179487</v>
      </c>
      <c r="Q19" s="25"/>
    </row>
    <row r="20" spans="1:17" ht="10.5" customHeight="1">
      <c r="A20" s="4" t="s">
        <v>19</v>
      </c>
      <c r="F20" s="15">
        <f>690745+19700+1400+11646+19500+25000</f>
        <v>767991</v>
      </c>
      <c r="G20" s="22">
        <f t="shared" si="8"/>
        <v>82284.75000000012</v>
      </c>
      <c r="H20" s="22">
        <f t="shared" si="9"/>
        <v>0</v>
      </c>
      <c r="I20" s="7">
        <f t="shared" si="10"/>
        <v>63999.25</v>
      </c>
      <c r="J20" s="7"/>
      <c r="K20" s="7">
        <v>0</v>
      </c>
      <c r="L20" s="22">
        <f t="shared" si="11"/>
        <v>0</v>
      </c>
      <c r="M20" s="23">
        <f t="shared" si="12"/>
        <v>63999.25</v>
      </c>
      <c r="N20" s="24">
        <f t="shared" si="13"/>
        <v>438.3510273972603</v>
      </c>
      <c r="O20" s="24">
        <f t="shared" si="14"/>
        <v>723.2791952054795</v>
      </c>
      <c r="P20" s="24">
        <f t="shared" si="6"/>
        <v>326.3820512820513</v>
      </c>
      <c r="Q20" s="25"/>
    </row>
    <row r="21" spans="1:17" ht="10.5" customHeight="1">
      <c r="A21" s="4" t="s">
        <v>23</v>
      </c>
      <c r="F21" s="15">
        <f>695745+19700+1400+11646+19500+25000</f>
        <v>772991</v>
      </c>
      <c r="G21" s="22">
        <f t="shared" si="8"/>
        <v>82820.46428571432</v>
      </c>
      <c r="H21" s="22">
        <f t="shared" si="9"/>
        <v>0</v>
      </c>
      <c r="I21" s="7">
        <f t="shared" si="10"/>
        <v>64415.916666666664</v>
      </c>
      <c r="J21" s="7"/>
      <c r="K21" s="7">
        <v>0</v>
      </c>
      <c r="L21" s="22">
        <f t="shared" si="11"/>
        <v>0</v>
      </c>
      <c r="M21" s="23">
        <f t="shared" si="12"/>
        <v>64415.916666666664</v>
      </c>
      <c r="N21" s="24">
        <f t="shared" si="13"/>
        <v>441.20490867579906</v>
      </c>
      <c r="O21" s="24">
        <f t="shared" si="14"/>
        <v>727.9880993150684</v>
      </c>
      <c r="P21" s="24">
        <f t="shared" si="6"/>
        <v>328.94615384615383</v>
      </c>
      <c r="Q21" s="25"/>
    </row>
    <row r="22" spans="1:16" ht="10.5" customHeight="1">
      <c r="A22" s="4" t="s">
        <v>37</v>
      </c>
      <c r="F22" s="15">
        <f>700745+19700+1400+11646+19500+25000</f>
        <v>777991</v>
      </c>
      <c r="G22" s="22">
        <f>F22-(F22/1.12)</f>
        <v>83356.17857142864</v>
      </c>
      <c r="H22" s="22">
        <f>K22*132</f>
        <v>0</v>
      </c>
      <c r="I22" s="7">
        <f>F22/12</f>
        <v>64832.583333333336</v>
      </c>
      <c r="J22" s="7"/>
      <c r="K22" s="7">
        <v>0</v>
      </c>
      <c r="L22" s="22">
        <f>K22*146</f>
        <v>0</v>
      </c>
      <c r="M22" s="23">
        <f>(F22-L22)/12</f>
        <v>64832.583333333336</v>
      </c>
      <c r="N22" s="24">
        <f>F22/1752</f>
        <v>444.0587899543379</v>
      </c>
      <c r="O22" s="24">
        <f>N22*1.65</f>
        <v>732.6970034246575</v>
      </c>
      <c r="P22" s="24">
        <f t="shared" si="6"/>
        <v>331.51025641025643</v>
      </c>
    </row>
    <row r="23" spans="1:16" ht="10.5" customHeight="1">
      <c r="A23" s="4" t="s">
        <v>49</v>
      </c>
      <c r="F23" s="15">
        <f>705745+19700+1400+11646+19500+25000</f>
        <v>782991</v>
      </c>
      <c r="G23" s="22">
        <f>F23-(F23/1.12)</f>
        <v>83891.89285714296</v>
      </c>
      <c r="H23" s="22">
        <f>K23*132</f>
        <v>0</v>
      </c>
      <c r="I23" s="7">
        <f>F23/12</f>
        <v>65249.25</v>
      </c>
      <c r="J23" s="7"/>
      <c r="K23" s="7">
        <v>0</v>
      </c>
      <c r="L23" s="22">
        <f>K23*146</f>
        <v>0</v>
      </c>
      <c r="M23" s="23">
        <f>(F23-L23)/12</f>
        <v>65249.25</v>
      </c>
      <c r="N23" s="24">
        <f>F23/1752</f>
        <v>446.91267123287673</v>
      </c>
      <c r="O23" s="24">
        <f>N23*1.65</f>
        <v>737.4059075342466</v>
      </c>
      <c r="P23" s="24">
        <f t="shared" si="6"/>
        <v>334.074358974359</v>
      </c>
    </row>
    <row r="24" spans="1:16" ht="10.5" customHeight="1">
      <c r="A24" s="4" t="s">
        <v>52</v>
      </c>
      <c r="F24" s="15">
        <f>706245+4500+19700+1400+11646+19500+25000</f>
        <v>787991</v>
      </c>
      <c r="G24" s="22">
        <f>F24-(F24/1.12)</f>
        <v>84427.60714285716</v>
      </c>
      <c r="H24" s="22">
        <f>K24*132</f>
        <v>0</v>
      </c>
      <c r="I24" s="7">
        <f>F24/12</f>
        <v>65665.91666666667</v>
      </c>
      <c r="J24" s="7"/>
      <c r="K24" s="7">
        <v>0</v>
      </c>
      <c r="L24" s="22">
        <f>K24*146</f>
        <v>0</v>
      </c>
      <c r="M24" s="23">
        <f>(F24-L24)/12</f>
        <v>65665.91666666667</v>
      </c>
      <c r="N24" s="24">
        <f>F24/1752</f>
        <v>449.7665525114155</v>
      </c>
      <c r="O24" s="24">
        <f>N24*1.65</f>
        <v>742.1148116438355</v>
      </c>
      <c r="P24" s="24">
        <f t="shared" si="6"/>
        <v>336.6384615384615</v>
      </c>
    </row>
    <row r="25" ht="10.5" customHeight="1">
      <c r="M25" s="23"/>
    </row>
    <row r="26" spans="1:18" s="38" customFormat="1" ht="10.5" customHeight="1">
      <c r="A26" s="4" t="s">
        <v>69</v>
      </c>
      <c r="B26" s="3" t="s">
        <v>86</v>
      </c>
      <c r="C26" s="4" t="s">
        <v>85</v>
      </c>
      <c r="D26" s="37" t="s">
        <v>87</v>
      </c>
      <c r="E26" s="21" t="s">
        <v>91</v>
      </c>
      <c r="F26" s="15">
        <f>703562+19700+1400+11646+19500+25000</f>
        <v>780808</v>
      </c>
      <c r="G26" s="22">
        <f aca="true" t="shared" si="15" ref="G26:G33">F26-(F26/1.12)</f>
        <v>83658.00000000012</v>
      </c>
      <c r="H26" s="22">
        <f aca="true" t="shared" si="16" ref="H26:H31">K26*132</f>
        <v>0</v>
      </c>
      <c r="I26" s="7">
        <f aca="true" t="shared" si="17" ref="I26:I33">F26/12</f>
        <v>65067.333333333336</v>
      </c>
      <c r="J26" s="29"/>
      <c r="K26" s="7">
        <v>0</v>
      </c>
      <c r="L26" s="29">
        <v>0</v>
      </c>
      <c r="M26" s="29">
        <f aca="true" t="shared" si="18" ref="M26:M33">892+14+9</f>
        <v>915</v>
      </c>
      <c r="N26" s="24">
        <f aca="true" t="shared" si="19" ref="N26:N33">F26/1752</f>
        <v>445.6666666666667</v>
      </c>
      <c r="O26" s="24">
        <f aca="true" t="shared" si="20" ref="O26:O33">N26*1.65</f>
        <v>735.35</v>
      </c>
      <c r="P26" s="24">
        <f t="shared" si="6"/>
        <v>332.9548717948718</v>
      </c>
      <c r="R26" s="21"/>
    </row>
    <row r="27" spans="1:18" s="38" customFormat="1" ht="10.5" customHeight="1">
      <c r="A27" s="4" t="s">
        <v>70</v>
      </c>
      <c r="B27" s="26"/>
      <c r="C27" s="21"/>
      <c r="D27" s="20" t="s">
        <v>94</v>
      </c>
      <c r="F27" s="15">
        <f>708562+19700+1400+11646+19500+25000</f>
        <v>785808</v>
      </c>
      <c r="G27" s="22">
        <f t="shared" si="15"/>
        <v>84193.71428571432</v>
      </c>
      <c r="H27" s="22">
        <f t="shared" si="16"/>
        <v>0</v>
      </c>
      <c r="I27" s="7">
        <f t="shared" si="17"/>
        <v>65484</v>
      </c>
      <c r="J27" s="29"/>
      <c r="K27" s="7">
        <v>0</v>
      </c>
      <c r="L27" s="29">
        <v>0</v>
      </c>
      <c r="M27" s="29">
        <f t="shared" si="18"/>
        <v>915</v>
      </c>
      <c r="N27" s="24">
        <f t="shared" si="19"/>
        <v>448.52054794520546</v>
      </c>
      <c r="O27" s="24">
        <f t="shared" si="20"/>
        <v>740.058904109589</v>
      </c>
      <c r="P27" s="24">
        <f t="shared" si="6"/>
        <v>335.51897435897433</v>
      </c>
      <c r="R27" s="21"/>
    </row>
    <row r="28" spans="1:18" s="38" customFormat="1" ht="10.5" customHeight="1">
      <c r="A28" s="4" t="s">
        <v>71</v>
      </c>
      <c r="F28" s="15">
        <f>713562+19700+1400+11646+19500+25000</f>
        <v>790808</v>
      </c>
      <c r="G28" s="22">
        <f t="shared" si="15"/>
        <v>84729.42857142864</v>
      </c>
      <c r="H28" s="22">
        <f t="shared" si="16"/>
        <v>0</v>
      </c>
      <c r="I28" s="7">
        <f t="shared" si="17"/>
        <v>65900.66666666667</v>
      </c>
      <c r="J28" s="29"/>
      <c r="K28" s="7">
        <v>0</v>
      </c>
      <c r="L28" s="29">
        <v>0</v>
      </c>
      <c r="M28" s="29">
        <f t="shared" si="18"/>
        <v>915</v>
      </c>
      <c r="N28" s="24">
        <f t="shared" si="19"/>
        <v>451.3744292237443</v>
      </c>
      <c r="O28" s="24">
        <f t="shared" si="20"/>
        <v>744.767808219178</v>
      </c>
      <c r="P28" s="24">
        <f t="shared" si="6"/>
        <v>338.08307692307693</v>
      </c>
      <c r="R28" s="21"/>
    </row>
    <row r="29" spans="1:18" s="38" customFormat="1" ht="10.5" customHeight="1">
      <c r="A29" s="4" t="s">
        <v>72</v>
      </c>
      <c r="B29" s="39"/>
      <c r="F29" s="15">
        <f>718562+19700+1400+11646+19500+25000</f>
        <v>795808</v>
      </c>
      <c r="G29" s="22">
        <f t="shared" si="15"/>
        <v>85265.14285714296</v>
      </c>
      <c r="H29" s="22">
        <f t="shared" si="16"/>
        <v>0</v>
      </c>
      <c r="I29" s="7">
        <f t="shared" si="17"/>
        <v>66317.33333333333</v>
      </c>
      <c r="J29" s="29"/>
      <c r="K29" s="7">
        <v>0</v>
      </c>
      <c r="L29" s="29">
        <v>0</v>
      </c>
      <c r="M29" s="29">
        <f t="shared" si="18"/>
        <v>915</v>
      </c>
      <c r="N29" s="24">
        <f t="shared" si="19"/>
        <v>454.2283105022831</v>
      </c>
      <c r="O29" s="24">
        <f t="shared" si="20"/>
        <v>749.476712328767</v>
      </c>
      <c r="P29" s="24">
        <f t="shared" si="6"/>
        <v>340.64717948717947</v>
      </c>
      <c r="R29" s="21"/>
    </row>
    <row r="30" spans="1:18" s="38" customFormat="1" ht="10.5" customHeight="1">
      <c r="A30" s="4" t="s">
        <v>73</v>
      </c>
      <c r="B30" s="39"/>
      <c r="F30" s="15">
        <f>723562+19700+1400+11646+19500+25000</f>
        <v>800808</v>
      </c>
      <c r="G30" s="22">
        <f t="shared" si="15"/>
        <v>85800.85714285716</v>
      </c>
      <c r="H30" s="22">
        <f t="shared" si="16"/>
        <v>0</v>
      </c>
      <c r="I30" s="7">
        <f t="shared" si="17"/>
        <v>66734</v>
      </c>
      <c r="J30" s="29"/>
      <c r="K30" s="7">
        <v>0</v>
      </c>
      <c r="L30" s="29">
        <v>0</v>
      </c>
      <c r="M30" s="29">
        <f t="shared" si="18"/>
        <v>915</v>
      </c>
      <c r="N30" s="24">
        <f t="shared" si="19"/>
        <v>457.0821917808219</v>
      </c>
      <c r="O30" s="24">
        <f t="shared" si="20"/>
        <v>754.1856164383561</v>
      </c>
      <c r="P30" s="24">
        <f t="shared" si="6"/>
        <v>343.21128205128207</v>
      </c>
      <c r="R30" s="21"/>
    </row>
    <row r="31" spans="1:18" s="38" customFormat="1" ht="10.5" customHeight="1">
      <c r="A31" s="4" t="s">
        <v>74</v>
      </c>
      <c r="B31" s="39"/>
      <c r="F31" s="15">
        <f>728562+19700+1400+11646+19500+25000</f>
        <v>805808</v>
      </c>
      <c r="G31" s="22">
        <f t="shared" si="15"/>
        <v>86336.57142857148</v>
      </c>
      <c r="H31" s="22">
        <f t="shared" si="16"/>
        <v>0</v>
      </c>
      <c r="I31" s="7">
        <f t="shared" si="17"/>
        <v>67150.66666666667</v>
      </c>
      <c r="J31" s="29"/>
      <c r="K31" s="7">
        <v>0</v>
      </c>
      <c r="L31" s="29">
        <v>0</v>
      </c>
      <c r="M31" s="29">
        <f t="shared" si="18"/>
        <v>915</v>
      </c>
      <c r="N31" s="24">
        <f t="shared" si="19"/>
        <v>459.93607305936075</v>
      </c>
      <c r="O31" s="24">
        <f t="shared" si="20"/>
        <v>758.8945205479451</v>
      </c>
      <c r="P31" s="24">
        <f t="shared" si="6"/>
        <v>345.7753846153846</v>
      </c>
      <c r="R31" s="21"/>
    </row>
    <row r="32" spans="1:18" s="38" customFormat="1" ht="10.5" customHeight="1">
      <c r="A32" s="4" t="s">
        <v>75</v>
      </c>
      <c r="B32" s="39"/>
      <c r="F32" s="15">
        <f>733562+19700+1400+11646+19500+25000</f>
        <v>810808</v>
      </c>
      <c r="G32" s="22">
        <f t="shared" si="15"/>
        <v>86872.2857142858</v>
      </c>
      <c r="H32" s="22">
        <f>K32*132</f>
        <v>0</v>
      </c>
      <c r="I32" s="7">
        <f t="shared" si="17"/>
        <v>67567.33333333333</v>
      </c>
      <c r="J32" s="29"/>
      <c r="K32" s="7">
        <v>0</v>
      </c>
      <c r="L32" s="29">
        <v>0</v>
      </c>
      <c r="M32" s="29">
        <f t="shared" si="18"/>
        <v>915</v>
      </c>
      <c r="N32" s="24">
        <f t="shared" si="19"/>
        <v>462.78995433789953</v>
      </c>
      <c r="O32" s="24">
        <f t="shared" si="20"/>
        <v>763.6034246575342</v>
      </c>
      <c r="P32" s="24">
        <f t="shared" si="6"/>
        <v>348.3394871794872</v>
      </c>
      <c r="R32" s="21"/>
    </row>
    <row r="33" spans="1:18" s="38" customFormat="1" ht="10.5" customHeight="1">
      <c r="A33" s="4" t="s">
        <v>76</v>
      </c>
      <c r="B33" s="39"/>
      <c r="F33" s="15">
        <f>738562+19700+1400+11646+19500+25000</f>
        <v>815808</v>
      </c>
      <c r="G33" s="22">
        <f t="shared" si="15"/>
        <v>87408.00000000012</v>
      </c>
      <c r="H33" s="22">
        <f>K33*132</f>
        <v>0</v>
      </c>
      <c r="I33" s="7">
        <f t="shared" si="17"/>
        <v>67984</v>
      </c>
      <c r="J33" s="29"/>
      <c r="K33" s="7">
        <v>0</v>
      </c>
      <c r="L33" s="29">
        <v>0</v>
      </c>
      <c r="M33" s="29">
        <f t="shared" si="18"/>
        <v>915</v>
      </c>
      <c r="N33" s="24">
        <f t="shared" si="19"/>
        <v>465.64383561643837</v>
      </c>
      <c r="O33" s="24">
        <f t="shared" si="20"/>
        <v>768.3123287671233</v>
      </c>
      <c r="P33" s="24">
        <f t="shared" si="6"/>
        <v>350.90358974358975</v>
      </c>
      <c r="R33" s="21"/>
    </row>
    <row r="34" spans="1:18" s="38" customFormat="1" ht="10.5" customHeight="1">
      <c r="A34" s="9"/>
      <c r="B34" s="39"/>
      <c r="F34" s="26"/>
      <c r="G34" s="21"/>
      <c r="H34" s="15"/>
      <c r="I34" s="22"/>
      <c r="J34" s="22"/>
      <c r="K34" s="7"/>
      <c r="L34" s="7"/>
      <c r="M34" s="7"/>
      <c r="N34" s="22"/>
      <c r="O34" s="23"/>
      <c r="P34" s="24"/>
      <c r="R34" s="21"/>
    </row>
    <row r="35" spans="1:17" ht="10.5" customHeight="1">
      <c r="A35" s="9" t="s">
        <v>88</v>
      </c>
      <c r="F35" s="15"/>
      <c r="G35" s="22"/>
      <c r="H35" s="22"/>
      <c r="I35" s="7"/>
      <c r="J35" s="7"/>
      <c r="K35" s="7"/>
      <c r="M35" s="23"/>
      <c r="Q35" s="24"/>
    </row>
    <row r="36" spans="1:13" ht="10.5" customHeight="1">
      <c r="A36" s="9"/>
      <c r="B36" s="3" t="s">
        <v>89</v>
      </c>
      <c r="C36" s="4" t="s">
        <v>90</v>
      </c>
      <c r="D36" s="3" t="s">
        <v>92</v>
      </c>
      <c r="E36" s="21" t="s">
        <v>91</v>
      </c>
      <c r="F36" s="15"/>
      <c r="G36" s="22"/>
      <c r="H36" s="22"/>
      <c r="I36" s="7"/>
      <c r="J36" s="7"/>
      <c r="K36" s="7"/>
      <c r="M36" s="23"/>
    </row>
    <row r="37" spans="1:13" ht="10.5" customHeight="1">
      <c r="A37" s="9"/>
      <c r="F37" s="15"/>
      <c r="G37" s="22"/>
      <c r="H37" s="22"/>
      <c r="I37" s="7"/>
      <c r="J37" s="7"/>
      <c r="K37" s="7"/>
      <c r="M37" s="23"/>
    </row>
    <row r="38" spans="1:13" ht="10.5" customHeight="1">
      <c r="A38" s="9"/>
      <c r="F38" s="15"/>
      <c r="G38" s="22"/>
      <c r="H38" s="22"/>
      <c r="I38" s="7"/>
      <c r="J38" s="7"/>
      <c r="K38" s="7"/>
      <c r="M38" s="23"/>
    </row>
    <row r="39" spans="1:13" ht="10.5" customHeight="1">
      <c r="A39" s="9"/>
      <c r="F39" s="15"/>
      <c r="G39" s="22"/>
      <c r="H39" s="22"/>
      <c r="I39" s="7"/>
      <c r="J39" s="7"/>
      <c r="K39" s="7"/>
      <c r="M39" s="23"/>
    </row>
    <row r="40" spans="1:13" ht="10.5" customHeight="1">
      <c r="A40" s="9"/>
      <c r="F40" s="15"/>
      <c r="G40" s="22"/>
      <c r="H40" s="22"/>
      <c r="I40" s="7"/>
      <c r="J40" s="7"/>
      <c r="K40" s="7"/>
      <c r="M40" s="23"/>
    </row>
    <row r="41" spans="1:13" ht="10.5" customHeight="1">
      <c r="A41" s="9"/>
      <c r="F41" s="15"/>
      <c r="G41" s="22"/>
      <c r="H41" s="22"/>
      <c r="I41" s="7"/>
      <c r="J41" s="7"/>
      <c r="K41" s="7"/>
      <c r="M41" s="23"/>
    </row>
    <row r="42" spans="1:13" ht="10.5" customHeight="1">
      <c r="A42" s="9"/>
      <c r="F42" s="15"/>
      <c r="G42" s="22"/>
      <c r="H42" s="22"/>
      <c r="I42" s="7"/>
      <c r="J42" s="7"/>
      <c r="K42" s="7"/>
      <c r="M42" s="23"/>
    </row>
    <row r="43" spans="1:13" ht="10.5" customHeight="1">
      <c r="A43" s="9"/>
      <c r="F43" s="15"/>
      <c r="G43" s="22"/>
      <c r="H43" s="22"/>
      <c r="I43" s="7"/>
      <c r="J43" s="7"/>
      <c r="K43" s="7"/>
      <c r="M43" s="23"/>
    </row>
    <row r="44" spans="1:15" ht="10.5" customHeight="1">
      <c r="A44" s="9"/>
      <c r="F44" s="4"/>
      <c r="G44" s="22"/>
      <c r="H44" s="22"/>
      <c r="I44" s="7"/>
      <c r="J44" s="31"/>
      <c r="K44" s="31"/>
      <c r="L44" s="32"/>
      <c r="M44" s="33"/>
      <c r="N44" s="34"/>
      <c r="O44" s="35"/>
    </row>
    <row r="45" spans="1:13" ht="10.5" customHeight="1">
      <c r="A45" s="36"/>
      <c r="F45" s="15"/>
      <c r="G45" s="22"/>
      <c r="H45" s="22"/>
      <c r="I45" s="7"/>
      <c r="J45" s="7"/>
      <c r="K45" s="7"/>
      <c r="M45" s="23"/>
    </row>
    <row r="46" spans="1:13" ht="10.5" customHeight="1">
      <c r="A46" s="36"/>
      <c r="F46" s="15"/>
      <c r="G46" s="22"/>
      <c r="H46" s="22"/>
      <c r="I46" s="7"/>
      <c r="J46" s="7"/>
      <c r="K46" s="7"/>
      <c r="M46" s="23"/>
    </row>
    <row r="47" spans="1:13" ht="10.5" customHeight="1">
      <c r="A47" s="36"/>
      <c r="F47" s="15"/>
      <c r="G47" s="22"/>
      <c r="H47" s="22"/>
      <c r="I47" s="7"/>
      <c r="J47" s="7"/>
      <c r="K47" s="7"/>
      <c r="M47" s="23"/>
    </row>
    <row r="48" spans="1:13" ht="10.5" customHeight="1">
      <c r="A48" s="36"/>
      <c r="F48" s="15"/>
      <c r="G48" s="22"/>
      <c r="H48" s="22"/>
      <c r="I48" s="7"/>
      <c r="J48" s="7"/>
      <c r="K48" s="7"/>
      <c r="M48" s="23"/>
    </row>
    <row r="49" spans="6:13" ht="10.5" customHeight="1">
      <c r="F49" s="15"/>
      <c r="G49" s="22"/>
      <c r="H49" s="22"/>
      <c r="I49" s="7"/>
      <c r="J49" s="7"/>
      <c r="K49" s="7"/>
      <c r="M49" s="23"/>
    </row>
    <row r="50" spans="6:13" ht="10.5" customHeight="1">
      <c r="F50" s="15"/>
      <c r="G50" s="22"/>
      <c r="H50" s="22"/>
      <c r="I50" s="7"/>
      <c r="J50" s="7"/>
      <c r="K50" s="7"/>
      <c r="M50" s="23"/>
    </row>
    <row r="51" spans="6:13" ht="10.5" customHeight="1">
      <c r="F51" s="15"/>
      <c r="G51" s="22"/>
      <c r="H51" s="22"/>
      <c r="I51" s="7"/>
      <c r="J51" s="7"/>
      <c r="K51" s="7"/>
      <c r="M51" s="23"/>
    </row>
    <row r="52" spans="6:13" ht="10.5" customHeight="1">
      <c r="F52" s="15"/>
      <c r="G52" s="22"/>
      <c r="H52" s="22"/>
      <c r="I52" s="7"/>
      <c r="J52" s="7"/>
      <c r="K52" s="7"/>
      <c r="M52" s="23"/>
    </row>
    <row r="53" spans="6:13" ht="10.5" customHeight="1">
      <c r="F53" s="15"/>
      <c r="G53" s="22"/>
      <c r="H53" s="22"/>
      <c r="I53" s="7"/>
      <c r="J53" s="7"/>
      <c r="K53" s="7"/>
      <c r="M53" s="23"/>
    </row>
    <row r="54" spans="6:13" ht="10.5" customHeight="1">
      <c r="F54" s="15"/>
      <c r="G54" s="22"/>
      <c r="H54" s="22"/>
      <c r="I54" s="7"/>
      <c r="J54" s="7"/>
      <c r="K54" s="7"/>
      <c r="M54" s="23"/>
    </row>
    <row r="55" spans="6:13" ht="10.5" customHeight="1">
      <c r="F55" s="15"/>
      <c r="G55" s="22"/>
      <c r="H55" s="22"/>
      <c r="I55" s="7"/>
      <c r="J55" s="7"/>
      <c r="K55" s="7"/>
      <c r="M55" s="23"/>
    </row>
    <row r="56" spans="6:13" ht="10.5" customHeight="1">
      <c r="F56" s="15"/>
      <c r="G56" s="22"/>
      <c r="H56" s="22"/>
      <c r="I56" s="7"/>
      <c r="J56" s="7"/>
      <c r="K56" s="7"/>
      <c r="M56" s="23"/>
    </row>
    <row r="57" spans="6:13" ht="10.5" customHeight="1">
      <c r="F57" s="15"/>
      <c r="G57" s="22"/>
      <c r="H57" s="22"/>
      <c r="I57" s="7"/>
      <c r="K57" s="7"/>
      <c r="M57" s="23"/>
    </row>
    <row r="58" spans="2:13" ht="10.5" customHeight="1">
      <c r="B58" s="20"/>
      <c r="C58" s="20"/>
      <c r="F58" s="15"/>
      <c r="G58" s="22"/>
      <c r="H58" s="22"/>
      <c r="I58" s="7"/>
      <c r="K58" s="7"/>
      <c r="M58" s="23"/>
    </row>
    <row r="59" spans="2:13" ht="10.5" customHeight="1">
      <c r="B59" s="20"/>
      <c r="C59" s="20"/>
      <c r="F59" s="15"/>
      <c r="G59" s="22"/>
      <c r="H59" s="22"/>
      <c r="I59" s="7"/>
      <c r="K59" s="7"/>
      <c r="M59" s="23"/>
    </row>
    <row r="60" spans="2:13" ht="10.5" customHeight="1">
      <c r="B60" s="20"/>
      <c r="C60" s="20"/>
      <c r="F60" s="15"/>
      <c r="G60" s="22"/>
      <c r="H60" s="22"/>
      <c r="I60" s="7"/>
      <c r="K60" s="7"/>
      <c r="M60" s="23"/>
    </row>
    <row r="61" spans="6:13" ht="10.5" customHeight="1">
      <c r="F61" s="15"/>
      <c r="G61" s="22"/>
      <c r="H61" s="22"/>
      <c r="I61" s="7"/>
      <c r="K61" s="7"/>
      <c r="M61" s="23"/>
    </row>
    <row r="62" spans="6:13" ht="10.5" customHeight="1">
      <c r="F62" s="15"/>
      <c r="G62" s="22"/>
      <c r="H62" s="22"/>
      <c r="I62" s="7"/>
      <c r="K62" s="7"/>
      <c r="M62" s="23"/>
    </row>
    <row r="63" spans="6:13" ht="10.5" customHeight="1">
      <c r="F63" s="15"/>
      <c r="G63" s="22"/>
      <c r="H63" s="22"/>
      <c r="I63" s="7"/>
      <c r="K63" s="7"/>
      <c r="M63" s="23"/>
    </row>
    <row r="64" spans="6:13" ht="10.5" customHeight="1">
      <c r="F64" s="15"/>
      <c r="G64" s="22"/>
      <c r="H64" s="22"/>
      <c r="I64" s="7"/>
      <c r="K64" s="7"/>
      <c r="M64" s="23"/>
    </row>
    <row r="65" spans="6:13" ht="10.5" customHeight="1">
      <c r="F65" s="15"/>
      <c r="G65" s="22"/>
      <c r="H65" s="22"/>
      <c r="I65" s="7"/>
      <c r="K65" s="7"/>
      <c r="M65" s="23"/>
    </row>
    <row r="66" spans="6:13" ht="10.5" customHeight="1">
      <c r="F66" s="15"/>
      <c r="G66" s="22"/>
      <c r="H66" s="22"/>
      <c r="I66" s="7"/>
      <c r="K66" s="7"/>
      <c r="M66" s="23"/>
    </row>
    <row r="67" spans="6:13" ht="10.5" customHeight="1">
      <c r="F67" s="15"/>
      <c r="G67" s="22"/>
      <c r="H67" s="22"/>
      <c r="I67" s="7"/>
      <c r="K67" s="7"/>
      <c r="M67" s="23"/>
    </row>
    <row r="68" spans="7:13" ht="10.5" customHeight="1">
      <c r="G68" s="22"/>
      <c r="H68" s="22"/>
      <c r="M68" s="23"/>
    </row>
    <row r="69" ht="10.5" customHeight="1">
      <c r="M69" s="23"/>
    </row>
    <row r="70" spans="11:13" ht="10.5" customHeight="1">
      <c r="K70" s="7"/>
      <c r="M70" s="23"/>
    </row>
    <row r="71" ht="10.5" customHeight="1">
      <c r="M71" s="23"/>
    </row>
    <row r="72" spans="11:13" ht="10.5" customHeight="1">
      <c r="K72" s="30"/>
      <c r="M72" s="23"/>
    </row>
    <row r="73" ht="10.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">
      <selection activeCell="A1" sqref="A1:IV16384"/>
    </sheetView>
  </sheetViews>
  <sheetFormatPr defaultColWidth="10.421875" defaultRowHeight="12.75"/>
  <cols>
    <col min="1" max="1" width="7.8515625" style="4" customWidth="1"/>
    <col min="2" max="2" width="21.00390625" style="26" bestFit="1" customWidth="1"/>
    <col min="3" max="3" width="5.140625" style="26" bestFit="1" customWidth="1"/>
    <col min="4" max="4" width="15.421875" style="21" customWidth="1"/>
    <col min="5" max="5" width="7.57421875" style="21" bestFit="1" customWidth="1"/>
    <col min="6" max="6" width="7.421875" style="27" bestFit="1" customWidth="1"/>
    <col min="7" max="7" width="7.57421875" style="15" customWidth="1"/>
    <col min="8" max="8" width="7.140625" style="15" customWidth="1"/>
    <col min="9" max="9" width="7.7109375" style="28" bestFit="1" customWidth="1"/>
    <col min="10" max="10" width="3.00390625" style="29" customWidth="1"/>
    <col min="11" max="11" width="5.7109375" style="28" customWidth="1"/>
    <col min="12" max="12" width="6.57421875" style="22" hidden="1" customWidth="1"/>
    <col min="13" max="13" width="10.7109375" style="21" hidden="1" customWidth="1"/>
    <col min="14" max="14" width="10.00390625" style="24" bestFit="1" customWidth="1"/>
    <col min="15" max="15" width="8.00390625" style="24" customWidth="1"/>
    <col min="16" max="16" width="8.57421875" style="24" customWidth="1"/>
    <col min="17" max="16384" width="10.421875" style="21" customWidth="1"/>
  </cols>
  <sheetData>
    <row r="1" spans="1:15" s="4" customFormat="1" ht="12" customHeight="1">
      <c r="A1" s="1" t="s">
        <v>36</v>
      </c>
      <c r="B1" s="2"/>
      <c r="C1" s="2"/>
      <c r="D1" s="3"/>
      <c r="F1" s="5"/>
      <c r="I1" s="6"/>
      <c r="J1" s="7"/>
      <c r="K1" s="8"/>
      <c r="M1" s="9" t="s">
        <v>0</v>
      </c>
      <c r="O1" s="10"/>
    </row>
    <row r="2" spans="1:15" s="4" customFormat="1" ht="12" customHeight="1">
      <c r="A2" s="1"/>
      <c r="B2" s="2"/>
      <c r="C2" s="2"/>
      <c r="D2" s="3"/>
      <c r="F2" s="5"/>
      <c r="I2" s="6"/>
      <c r="J2" s="7"/>
      <c r="K2" s="8"/>
      <c r="M2" s="9"/>
      <c r="O2" s="10"/>
    </row>
    <row r="3" spans="1:17" s="4" customFormat="1" ht="56.25">
      <c r="A3" s="11" t="s">
        <v>22</v>
      </c>
      <c r="B3" s="3" t="s">
        <v>3</v>
      </c>
      <c r="C3" s="3" t="s">
        <v>2</v>
      </c>
      <c r="D3" s="10" t="s">
        <v>4</v>
      </c>
      <c r="E3" s="10" t="s">
        <v>5</v>
      </c>
      <c r="F3" s="12" t="s">
        <v>6</v>
      </c>
      <c r="G3" s="13" t="s">
        <v>7</v>
      </c>
      <c r="H3" s="13" t="s">
        <v>8</v>
      </c>
      <c r="I3" s="14" t="s">
        <v>32</v>
      </c>
      <c r="J3" s="15"/>
      <c r="K3" s="13" t="s">
        <v>20</v>
      </c>
      <c r="L3" s="13"/>
      <c r="M3" s="9"/>
      <c r="N3" s="16" t="s">
        <v>9</v>
      </c>
      <c r="O3" s="17" t="s">
        <v>10</v>
      </c>
      <c r="P3" s="16" t="s">
        <v>11</v>
      </c>
      <c r="Q3" s="18"/>
    </row>
    <row r="4" spans="1:16" s="4" customFormat="1" ht="11.25">
      <c r="A4" s="19"/>
      <c r="B4" s="3"/>
      <c r="C4" s="3"/>
      <c r="D4" s="10"/>
      <c r="E4" s="10"/>
      <c r="F4" s="12"/>
      <c r="G4" s="13"/>
      <c r="H4" s="13"/>
      <c r="I4" s="14"/>
      <c r="J4" s="15"/>
      <c r="K4" s="14"/>
      <c r="L4" s="13"/>
      <c r="M4" s="9"/>
      <c r="N4" s="16"/>
      <c r="O4" s="17"/>
      <c r="P4" s="16"/>
    </row>
    <row r="5" spans="1:17" ht="10.5" customHeight="1">
      <c r="A5" s="4" t="s">
        <v>12</v>
      </c>
      <c r="B5" s="20" t="s">
        <v>26</v>
      </c>
      <c r="C5" s="20" t="s">
        <v>29</v>
      </c>
      <c r="D5" s="21" t="s">
        <v>1</v>
      </c>
      <c r="F5" s="15">
        <f>487588*1.045</f>
        <v>509529.45999999996</v>
      </c>
      <c r="G5" s="22">
        <f aca="true" t="shared" si="0" ref="G5:G13">F5-(F5/1.12)</f>
        <v>54592.44214285718</v>
      </c>
      <c r="H5" s="22">
        <f aca="true" t="shared" si="1" ref="H5:H12">K5*132</f>
        <v>0</v>
      </c>
      <c r="I5" s="7">
        <f>F5/12</f>
        <v>42460.78833333333</v>
      </c>
      <c r="J5" s="7"/>
      <c r="K5" s="7">
        <v>0</v>
      </c>
      <c r="L5" s="22">
        <f>K5*146</f>
        <v>0</v>
      </c>
      <c r="M5" s="23">
        <f aca="true" t="shared" si="2" ref="M5:M12">(F5-L5)/12</f>
        <v>42460.78833333333</v>
      </c>
      <c r="N5" s="24">
        <f>F5/1752</f>
        <v>290.82731735159814</v>
      </c>
      <c r="O5" s="24">
        <f>N5*1.65</f>
        <v>479.8650736301369</v>
      </c>
      <c r="P5" s="24">
        <f>I5/162.5</f>
        <v>261.297158974359</v>
      </c>
      <c r="Q5" s="25"/>
    </row>
    <row r="6" spans="1:17" ht="10.5" customHeight="1">
      <c r="A6" s="4" t="s">
        <v>13</v>
      </c>
      <c r="F6" s="15">
        <f>499565*1.045+1</f>
        <v>522046.425</v>
      </c>
      <c r="G6" s="22">
        <f t="shared" si="0"/>
        <v>55933.54553571431</v>
      </c>
      <c r="H6" s="22">
        <f t="shared" si="1"/>
        <v>0</v>
      </c>
      <c r="I6" s="7">
        <f aca="true" t="shared" si="3" ref="I6:I13">F6/12</f>
        <v>43503.86875</v>
      </c>
      <c r="J6" s="7"/>
      <c r="K6" s="7">
        <v>0</v>
      </c>
      <c r="L6" s="22">
        <f>K6*146</f>
        <v>0</v>
      </c>
      <c r="M6" s="23">
        <f t="shared" si="2"/>
        <v>43503.86875</v>
      </c>
      <c r="N6" s="24">
        <f>F6/1752</f>
        <v>297.9717037671233</v>
      </c>
      <c r="O6" s="24">
        <f>N6*1.65</f>
        <v>491.65331121575343</v>
      </c>
      <c r="P6" s="24">
        <f>I6/162.5</f>
        <v>267.7161153846154</v>
      </c>
      <c r="Q6" s="25"/>
    </row>
    <row r="7" spans="1:17" ht="10.5" customHeight="1">
      <c r="A7" s="4" t="s">
        <v>14</v>
      </c>
      <c r="F7" s="15">
        <f>511541*1.045</f>
        <v>534560.345</v>
      </c>
      <c r="G7" s="22">
        <f t="shared" si="0"/>
        <v>57274.32267857145</v>
      </c>
      <c r="H7" s="22">
        <f t="shared" si="1"/>
        <v>0</v>
      </c>
      <c r="I7" s="7">
        <f t="shared" si="3"/>
        <v>44546.69541666666</v>
      </c>
      <c r="J7" s="7"/>
      <c r="K7" s="7">
        <v>0</v>
      </c>
      <c r="L7" s="22">
        <f aca="true" t="shared" si="4" ref="L7:L13">K7*146</f>
        <v>0</v>
      </c>
      <c r="M7" s="23">
        <f t="shared" si="2"/>
        <v>44546.69541666666</v>
      </c>
      <c r="N7" s="24">
        <f aca="true" t="shared" si="5" ref="N7:N12">F7/1752</f>
        <v>305.1143521689498</v>
      </c>
      <c r="O7" s="24">
        <f aca="true" t="shared" si="6" ref="O7:O13">N7*1.65</f>
        <v>503.4386810787671</v>
      </c>
      <c r="P7" s="24">
        <f aca="true" t="shared" si="7" ref="P7:P12">I7/162.5</f>
        <v>274.1335102564102</v>
      </c>
      <c r="Q7" s="25"/>
    </row>
    <row r="8" spans="1:17" ht="10.5" customHeight="1">
      <c r="A8" s="4" t="s">
        <v>15</v>
      </c>
      <c r="F8" s="15">
        <f>523519*1.045</f>
        <v>547077.355</v>
      </c>
      <c r="G8" s="22">
        <f t="shared" si="0"/>
        <v>58615.4308928572</v>
      </c>
      <c r="H8" s="22">
        <f t="shared" si="1"/>
        <v>0</v>
      </c>
      <c r="I8" s="7">
        <f t="shared" si="3"/>
        <v>45589.77958333333</v>
      </c>
      <c r="J8" s="7"/>
      <c r="K8" s="7">
        <v>0</v>
      </c>
      <c r="L8" s="22">
        <f t="shared" si="4"/>
        <v>0</v>
      </c>
      <c r="M8" s="23">
        <f t="shared" si="2"/>
        <v>45589.77958333333</v>
      </c>
      <c r="N8" s="24">
        <f t="shared" si="5"/>
        <v>312.25876426940636</v>
      </c>
      <c r="O8" s="24">
        <f t="shared" si="6"/>
        <v>515.2269610445204</v>
      </c>
      <c r="P8" s="24">
        <f t="shared" si="7"/>
        <v>280.5524897435897</v>
      </c>
      <c r="Q8" s="25"/>
    </row>
    <row r="9" spans="1:17" ht="10.5" customHeight="1">
      <c r="A9" s="4" t="s">
        <v>16</v>
      </c>
      <c r="F9" s="15">
        <f>535495*1.045+1</f>
        <v>559593.2749999999</v>
      </c>
      <c r="G9" s="22">
        <f t="shared" si="0"/>
        <v>59956.4223214286</v>
      </c>
      <c r="H9" s="22">
        <f t="shared" si="1"/>
        <v>0</v>
      </c>
      <c r="I9" s="7">
        <f t="shared" si="3"/>
        <v>46632.77291666666</v>
      </c>
      <c r="J9" s="7"/>
      <c r="K9" s="7">
        <v>0</v>
      </c>
      <c r="L9" s="22">
        <f t="shared" si="4"/>
        <v>0</v>
      </c>
      <c r="M9" s="23">
        <f t="shared" si="2"/>
        <v>46632.77291666666</v>
      </c>
      <c r="N9" s="24">
        <f t="shared" si="5"/>
        <v>319.40255422374423</v>
      </c>
      <c r="O9" s="24">
        <f t="shared" si="6"/>
        <v>527.014214469178</v>
      </c>
      <c r="P9" s="24">
        <f t="shared" si="7"/>
        <v>286.9709102564102</v>
      </c>
      <c r="Q9" s="25"/>
    </row>
    <row r="10" spans="1:17" ht="10.5" customHeight="1">
      <c r="A10" s="4" t="s">
        <v>17</v>
      </c>
      <c r="B10" s="20" t="s">
        <v>35</v>
      </c>
      <c r="C10" s="20" t="s">
        <v>28</v>
      </c>
      <c r="D10" s="21" t="s">
        <v>31</v>
      </c>
      <c r="F10" s="15">
        <f>547472*1.045</f>
        <v>572108.24</v>
      </c>
      <c r="G10" s="22">
        <f t="shared" si="0"/>
        <v>61297.31142857147</v>
      </c>
      <c r="H10" s="22">
        <f t="shared" si="1"/>
        <v>0</v>
      </c>
      <c r="I10" s="7">
        <f t="shared" si="3"/>
        <v>47675.68666666667</v>
      </c>
      <c r="J10" s="7"/>
      <c r="K10" s="7">
        <v>0</v>
      </c>
      <c r="L10" s="22">
        <f t="shared" si="4"/>
        <v>0</v>
      </c>
      <c r="M10" s="23">
        <f t="shared" si="2"/>
        <v>47675.68666666667</v>
      </c>
      <c r="N10" s="24">
        <f t="shared" si="5"/>
        <v>326.545799086758</v>
      </c>
      <c r="O10" s="24">
        <f t="shared" si="6"/>
        <v>538.8005684931506</v>
      </c>
      <c r="P10" s="24">
        <f t="shared" si="7"/>
        <v>293.38884102564106</v>
      </c>
      <c r="Q10" s="25"/>
    </row>
    <row r="11" spans="1:17" ht="10.5" customHeight="1">
      <c r="A11" s="4" t="s">
        <v>18</v>
      </c>
      <c r="F11" s="15">
        <f>559449*1.045+1</f>
        <v>584625.205</v>
      </c>
      <c r="G11" s="22">
        <f t="shared" si="0"/>
        <v>62638.414821428596</v>
      </c>
      <c r="H11" s="22">
        <f t="shared" si="1"/>
        <v>0</v>
      </c>
      <c r="I11" s="7">
        <f t="shared" si="3"/>
        <v>48718.76708333333</v>
      </c>
      <c r="J11" s="7"/>
      <c r="K11" s="7">
        <v>0</v>
      </c>
      <c r="L11" s="22">
        <f t="shared" si="4"/>
        <v>0</v>
      </c>
      <c r="M11" s="23">
        <f t="shared" si="2"/>
        <v>48718.76708333333</v>
      </c>
      <c r="N11" s="24">
        <f t="shared" si="5"/>
        <v>333.6901855022831</v>
      </c>
      <c r="O11" s="24">
        <f t="shared" si="6"/>
        <v>550.5888060787671</v>
      </c>
      <c r="P11" s="24">
        <f t="shared" si="7"/>
        <v>299.80779743589744</v>
      </c>
      <c r="Q11" s="25"/>
    </row>
    <row r="12" spans="1:17" ht="10.5" customHeight="1">
      <c r="A12" s="4" t="s">
        <v>19</v>
      </c>
      <c r="F12" s="15">
        <f>575150*1.045-1</f>
        <v>601030.75</v>
      </c>
      <c r="G12" s="22">
        <f t="shared" si="0"/>
        <v>64396.15178571432</v>
      </c>
      <c r="H12" s="22">
        <f t="shared" si="1"/>
        <v>0</v>
      </c>
      <c r="I12" s="7">
        <f t="shared" si="3"/>
        <v>50085.895833333336</v>
      </c>
      <c r="J12" s="7"/>
      <c r="K12" s="7">
        <v>0</v>
      </c>
      <c r="L12" s="22">
        <f t="shared" si="4"/>
        <v>0</v>
      </c>
      <c r="M12" s="23">
        <f t="shared" si="2"/>
        <v>50085.895833333336</v>
      </c>
      <c r="N12" s="24">
        <f t="shared" si="5"/>
        <v>343.0540810502283</v>
      </c>
      <c r="O12" s="24">
        <f t="shared" si="6"/>
        <v>566.0392337328767</v>
      </c>
      <c r="P12" s="24">
        <f t="shared" si="7"/>
        <v>308.2208974358974</v>
      </c>
      <c r="Q12" s="25"/>
    </row>
    <row r="13" spans="1:17" ht="10.5" customHeight="1">
      <c r="A13" s="4" t="s">
        <v>23</v>
      </c>
      <c r="F13" s="15">
        <f>590315*1.045</f>
        <v>616879.1749999999</v>
      </c>
      <c r="G13" s="22">
        <f t="shared" si="0"/>
        <v>66094.19732142857</v>
      </c>
      <c r="H13" s="22">
        <f>K13*132</f>
        <v>0</v>
      </c>
      <c r="I13" s="7">
        <f t="shared" si="3"/>
        <v>51406.59791666666</v>
      </c>
      <c r="J13" s="7"/>
      <c r="K13" s="7">
        <v>0</v>
      </c>
      <c r="L13" s="22">
        <f t="shared" si="4"/>
        <v>0</v>
      </c>
      <c r="M13" s="23">
        <f>(F13-L13)/12</f>
        <v>51406.59791666666</v>
      </c>
      <c r="N13" s="24">
        <f>F13/1752</f>
        <v>352.0999857305936</v>
      </c>
      <c r="O13" s="24">
        <f t="shared" si="6"/>
        <v>580.9649764554794</v>
      </c>
      <c r="P13" s="24">
        <f>I13/162.5</f>
        <v>316.34829487179485</v>
      </c>
      <c r="Q13" s="25"/>
    </row>
    <row r="14" spans="1:17" ht="10.5" customHeight="1">
      <c r="A14" s="4" t="s">
        <v>37</v>
      </c>
      <c r="F14" s="15">
        <f>590315*1.045+12500</f>
        <v>629379.1749999999</v>
      </c>
      <c r="G14" s="22">
        <f>F14-(F14/1.12)</f>
        <v>67433.48303571437</v>
      </c>
      <c r="H14" s="22">
        <f>K14*132</f>
        <v>0</v>
      </c>
      <c r="I14" s="7">
        <f>F14/12</f>
        <v>52448.26458333333</v>
      </c>
      <c r="J14" s="7"/>
      <c r="K14" s="7">
        <v>0</v>
      </c>
      <c r="L14" s="22">
        <f>K14*146</f>
        <v>0</v>
      </c>
      <c r="M14" s="23">
        <f>(F14-L14)/12</f>
        <v>52448.26458333333</v>
      </c>
      <c r="N14" s="24">
        <f>F14/1752</f>
        <v>359.2346889269406</v>
      </c>
      <c r="O14" s="24">
        <f>N14*1.65</f>
        <v>592.7372367294519</v>
      </c>
      <c r="P14" s="24">
        <f>I14/162.5</f>
        <v>322.75855128205126</v>
      </c>
      <c r="Q14" s="25"/>
    </row>
    <row r="15" spans="11:13" ht="10.5" customHeight="1">
      <c r="K15" s="7">
        <v>0</v>
      </c>
      <c r="M15" s="23"/>
    </row>
    <row r="16" ht="10.5" customHeight="1">
      <c r="M16" s="23"/>
    </row>
    <row r="17" ht="10.5" customHeight="1">
      <c r="M17" s="23"/>
    </row>
    <row r="18" ht="10.5" customHeight="1">
      <c r="M18" s="23"/>
    </row>
    <row r="19" ht="10.5" customHeight="1">
      <c r="M19" s="23"/>
    </row>
    <row r="20" ht="10.5" customHeight="1">
      <c r="M20" s="23"/>
    </row>
    <row r="21" ht="10.5" customHeight="1">
      <c r="M21" s="23"/>
    </row>
    <row r="22" ht="10.5" customHeight="1">
      <c r="M22" s="23"/>
    </row>
    <row r="23" ht="10.5" customHeight="1">
      <c r="M23" s="23"/>
    </row>
    <row r="24" ht="10.5" customHeight="1">
      <c r="M24" s="23"/>
    </row>
    <row r="25" ht="10.5" customHeight="1">
      <c r="M25" s="23"/>
    </row>
    <row r="26" spans="11:13" ht="10.5" customHeight="1">
      <c r="K26" s="30"/>
      <c r="M26" s="23"/>
    </row>
    <row r="27" ht="12" customHeight="1"/>
    <row r="28" spans="1:15" s="4" customFormat="1" ht="12" customHeight="1">
      <c r="A28" s="1"/>
      <c r="B28" s="2"/>
      <c r="C28" s="2"/>
      <c r="D28" s="3"/>
      <c r="F28" s="5"/>
      <c r="I28" s="6"/>
      <c r="J28" s="7"/>
      <c r="K28" s="8"/>
      <c r="M28" s="9"/>
      <c r="O28" s="10"/>
    </row>
    <row r="29" spans="1:15" s="4" customFormat="1" ht="12" customHeight="1">
      <c r="A29" s="1"/>
      <c r="B29" s="2"/>
      <c r="C29" s="2"/>
      <c r="D29" s="3"/>
      <c r="F29" s="5"/>
      <c r="I29" s="6"/>
      <c r="J29" s="7"/>
      <c r="K29" s="8"/>
      <c r="M29" s="9"/>
      <c r="O29" s="10"/>
    </row>
    <row r="30" spans="1:13" ht="10.5" customHeight="1">
      <c r="A30" s="9"/>
      <c r="D30" s="26"/>
      <c r="F30" s="15"/>
      <c r="G30" s="22"/>
      <c r="H30" s="22"/>
      <c r="I30" s="7"/>
      <c r="J30" s="7"/>
      <c r="K30" s="7"/>
      <c r="M30" s="23"/>
    </row>
    <row r="31" spans="1:13" ht="10.5" customHeight="1">
      <c r="A31" s="9"/>
      <c r="D31" s="26"/>
      <c r="F31" s="15"/>
      <c r="G31" s="22"/>
      <c r="H31" s="22"/>
      <c r="I31" s="7"/>
      <c r="J31" s="7"/>
      <c r="K31" s="7"/>
      <c r="M31" s="23"/>
    </row>
    <row r="32" spans="1:13" ht="10.5" customHeight="1">
      <c r="A32" s="9"/>
      <c r="F32" s="15"/>
      <c r="G32" s="22"/>
      <c r="H32" s="22"/>
      <c r="I32" s="7"/>
      <c r="J32" s="7"/>
      <c r="K32" s="7"/>
      <c r="M32" s="23"/>
    </row>
    <row r="33" spans="1:13" ht="10.5" customHeight="1">
      <c r="A33" s="9"/>
      <c r="F33" s="15"/>
      <c r="G33" s="22"/>
      <c r="H33" s="22"/>
      <c r="I33" s="7"/>
      <c r="J33" s="7"/>
      <c r="K33" s="7"/>
      <c r="M33" s="23"/>
    </row>
    <row r="34" spans="1:13" ht="10.5" customHeight="1">
      <c r="A34" s="9"/>
      <c r="F34" s="15"/>
      <c r="G34" s="22"/>
      <c r="H34" s="22"/>
      <c r="I34" s="7"/>
      <c r="J34" s="7"/>
      <c r="K34" s="7"/>
      <c r="M34" s="23"/>
    </row>
    <row r="35" spans="1:13" ht="10.5" customHeight="1">
      <c r="A35" s="9"/>
      <c r="F35" s="15"/>
      <c r="G35" s="22"/>
      <c r="H35" s="22"/>
      <c r="I35" s="7"/>
      <c r="J35" s="7"/>
      <c r="K35" s="7"/>
      <c r="M35" s="23"/>
    </row>
    <row r="36" spans="1:13" ht="10.5" customHeight="1">
      <c r="A36" s="9"/>
      <c r="F36" s="15"/>
      <c r="G36" s="22"/>
      <c r="H36" s="22"/>
      <c r="I36" s="7"/>
      <c r="J36" s="7"/>
      <c r="K36" s="7"/>
      <c r="M36" s="23"/>
    </row>
    <row r="37" spans="1:13" ht="10.5" customHeight="1">
      <c r="A37" s="9"/>
      <c r="F37" s="15"/>
      <c r="G37" s="22"/>
      <c r="H37" s="22"/>
      <c r="I37" s="7"/>
      <c r="J37" s="7"/>
      <c r="K37" s="7"/>
      <c r="M37" s="23"/>
    </row>
    <row r="38" spans="1:13" ht="10.5" customHeight="1">
      <c r="A38" s="9"/>
      <c r="F38" s="15"/>
      <c r="G38" s="22"/>
      <c r="H38" s="22"/>
      <c r="I38" s="7"/>
      <c r="J38" s="7"/>
      <c r="K38" s="7"/>
      <c r="M38" s="23"/>
    </row>
    <row r="39" spans="1:13" ht="10.5" customHeight="1">
      <c r="A39" s="9"/>
      <c r="F39" s="15"/>
      <c r="G39" s="22"/>
      <c r="H39" s="22"/>
      <c r="I39" s="7"/>
      <c r="J39" s="7"/>
      <c r="K39" s="7"/>
      <c r="M39" s="23"/>
    </row>
    <row r="40" spans="1:13" ht="10.5" customHeight="1">
      <c r="A40" s="9"/>
      <c r="F40" s="15"/>
      <c r="G40" s="22"/>
      <c r="H40" s="22"/>
      <c r="I40" s="7"/>
      <c r="J40" s="7"/>
      <c r="K40" s="7"/>
      <c r="M40" s="23"/>
    </row>
    <row r="41" spans="1:15" ht="10.5" customHeight="1">
      <c r="A41" s="9"/>
      <c r="F41" s="4"/>
      <c r="G41" s="22"/>
      <c r="H41" s="22"/>
      <c r="I41" s="7"/>
      <c r="J41" s="31"/>
      <c r="K41" s="31"/>
      <c r="L41" s="32"/>
      <c r="M41" s="33"/>
      <c r="N41" s="34"/>
      <c r="O41" s="35"/>
    </row>
    <row r="42" spans="1:13" ht="10.5" customHeight="1">
      <c r="A42" s="36"/>
      <c r="F42" s="15"/>
      <c r="G42" s="22"/>
      <c r="H42" s="22"/>
      <c r="I42" s="7"/>
      <c r="J42" s="7"/>
      <c r="K42" s="7"/>
      <c r="M42" s="23"/>
    </row>
    <row r="43" spans="1:13" ht="10.5" customHeight="1">
      <c r="A43" s="36"/>
      <c r="F43" s="15"/>
      <c r="G43" s="22"/>
      <c r="H43" s="22"/>
      <c r="I43" s="7"/>
      <c r="J43" s="7"/>
      <c r="K43" s="7"/>
      <c r="M43" s="23"/>
    </row>
    <row r="44" spans="1:13" ht="10.5" customHeight="1">
      <c r="A44" s="36"/>
      <c r="F44" s="15"/>
      <c r="G44" s="22"/>
      <c r="H44" s="22"/>
      <c r="I44" s="7"/>
      <c r="J44" s="7"/>
      <c r="K44" s="7"/>
      <c r="M44" s="23"/>
    </row>
    <row r="45" spans="1:13" ht="10.5" customHeight="1">
      <c r="A45" s="36"/>
      <c r="F45" s="15"/>
      <c r="G45" s="22"/>
      <c r="H45" s="22"/>
      <c r="I45" s="7"/>
      <c r="J45" s="7"/>
      <c r="K45" s="7"/>
      <c r="M45" s="23"/>
    </row>
    <row r="46" spans="6:13" ht="10.5" customHeight="1">
      <c r="F46" s="15"/>
      <c r="G46" s="22"/>
      <c r="H46" s="22"/>
      <c r="I46" s="7"/>
      <c r="J46" s="7"/>
      <c r="K46" s="7"/>
      <c r="M46" s="23"/>
    </row>
    <row r="47" spans="6:13" ht="10.5" customHeight="1">
      <c r="F47" s="15"/>
      <c r="G47" s="22"/>
      <c r="H47" s="22"/>
      <c r="I47" s="7"/>
      <c r="J47" s="7"/>
      <c r="K47" s="7"/>
      <c r="M47" s="23"/>
    </row>
    <row r="48" spans="6:13" ht="10.5" customHeight="1">
      <c r="F48" s="15"/>
      <c r="G48" s="22"/>
      <c r="H48" s="22"/>
      <c r="I48" s="7"/>
      <c r="J48" s="7"/>
      <c r="K48" s="7"/>
      <c r="M48" s="23"/>
    </row>
    <row r="49" spans="6:13" ht="10.5" customHeight="1">
      <c r="F49" s="15"/>
      <c r="G49" s="22"/>
      <c r="H49" s="22"/>
      <c r="I49" s="7"/>
      <c r="J49" s="7"/>
      <c r="K49" s="7"/>
      <c r="M49" s="23"/>
    </row>
    <row r="50" spans="6:13" ht="10.5" customHeight="1">
      <c r="F50" s="15"/>
      <c r="G50" s="22"/>
      <c r="H50" s="22"/>
      <c r="I50" s="7"/>
      <c r="J50" s="7"/>
      <c r="K50" s="7"/>
      <c r="M50" s="23"/>
    </row>
    <row r="51" spans="6:13" ht="10.5" customHeight="1">
      <c r="F51" s="15"/>
      <c r="G51" s="22"/>
      <c r="H51" s="22"/>
      <c r="I51" s="7"/>
      <c r="J51" s="7"/>
      <c r="K51" s="7"/>
      <c r="M51" s="23"/>
    </row>
    <row r="52" spans="6:13" ht="10.5" customHeight="1">
      <c r="F52" s="15"/>
      <c r="G52" s="22"/>
      <c r="H52" s="22"/>
      <c r="I52" s="7"/>
      <c r="J52" s="7"/>
      <c r="K52" s="7"/>
      <c r="M52" s="23"/>
    </row>
    <row r="53" spans="6:13" ht="10.5" customHeight="1">
      <c r="F53" s="15"/>
      <c r="G53" s="22"/>
      <c r="H53" s="22"/>
      <c r="I53" s="7"/>
      <c r="J53" s="7"/>
      <c r="K53" s="7"/>
      <c r="M53" s="23"/>
    </row>
    <row r="54" spans="2:13" ht="10.5" customHeight="1">
      <c r="B54" s="20"/>
      <c r="C54" s="20"/>
      <c r="F54" s="15"/>
      <c r="G54" s="22"/>
      <c r="H54" s="22"/>
      <c r="I54" s="7"/>
      <c r="K54" s="7"/>
      <c r="M54" s="23"/>
    </row>
    <row r="55" spans="2:13" ht="10.5" customHeight="1">
      <c r="B55" s="20"/>
      <c r="C55" s="20"/>
      <c r="F55" s="15"/>
      <c r="G55" s="22"/>
      <c r="H55" s="22"/>
      <c r="I55" s="7"/>
      <c r="K55" s="7"/>
      <c r="M55" s="23"/>
    </row>
    <row r="56" spans="2:13" ht="10.5" customHeight="1">
      <c r="B56" s="20"/>
      <c r="C56" s="20"/>
      <c r="F56" s="15"/>
      <c r="G56" s="22"/>
      <c r="H56" s="22"/>
      <c r="I56" s="7"/>
      <c r="K56" s="7"/>
      <c r="M56" s="23"/>
    </row>
    <row r="57" spans="6:13" ht="10.5" customHeight="1">
      <c r="F57" s="15"/>
      <c r="G57" s="22"/>
      <c r="H57" s="22"/>
      <c r="I57" s="7"/>
      <c r="K57" s="7"/>
      <c r="M57" s="23"/>
    </row>
    <row r="58" spans="6:13" ht="10.5" customHeight="1">
      <c r="F58" s="15"/>
      <c r="G58" s="22"/>
      <c r="H58" s="22"/>
      <c r="I58" s="7"/>
      <c r="K58" s="7"/>
      <c r="M58" s="23"/>
    </row>
    <row r="59" spans="6:13" ht="10.5" customHeight="1">
      <c r="F59" s="15"/>
      <c r="G59" s="22"/>
      <c r="H59" s="22"/>
      <c r="I59" s="7"/>
      <c r="K59" s="7"/>
      <c r="M59" s="23"/>
    </row>
    <row r="60" spans="6:13" ht="10.5" customHeight="1">
      <c r="F60" s="15"/>
      <c r="G60" s="22"/>
      <c r="H60" s="22"/>
      <c r="I60" s="7"/>
      <c r="K60" s="7"/>
      <c r="M60" s="23"/>
    </row>
    <row r="61" spans="6:13" ht="10.5" customHeight="1">
      <c r="F61" s="15"/>
      <c r="G61" s="22"/>
      <c r="H61" s="22"/>
      <c r="I61" s="7"/>
      <c r="K61" s="7"/>
      <c r="M61" s="23"/>
    </row>
    <row r="62" spans="6:13" ht="10.5" customHeight="1">
      <c r="F62" s="15"/>
      <c r="G62" s="22"/>
      <c r="H62" s="22"/>
      <c r="I62" s="7"/>
      <c r="K62" s="7"/>
      <c r="M62" s="23"/>
    </row>
    <row r="63" spans="6:13" ht="10.5" customHeight="1">
      <c r="F63" s="15"/>
      <c r="G63" s="22"/>
      <c r="H63" s="22"/>
      <c r="I63" s="7"/>
      <c r="K63" s="7"/>
      <c r="M63" s="23"/>
    </row>
    <row r="64" spans="6:13" ht="10.5" customHeight="1">
      <c r="F64" s="15"/>
      <c r="G64" s="22"/>
      <c r="H64" s="22"/>
      <c r="I64" s="7"/>
      <c r="K64" s="7"/>
      <c r="M64" s="23"/>
    </row>
    <row r="65" spans="7:13" ht="10.5" customHeight="1">
      <c r="G65" s="22"/>
      <c r="H65" s="22"/>
      <c r="M65" s="23"/>
    </row>
    <row r="66" ht="10.5" customHeight="1">
      <c r="M66" s="23"/>
    </row>
    <row r="67" spans="11:13" ht="10.5" customHeight="1">
      <c r="K67" s="7"/>
      <c r="M67" s="23"/>
    </row>
    <row r="68" ht="10.5" customHeight="1">
      <c r="M68" s="23"/>
    </row>
    <row r="69" spans="11:13" ht="10.5" customHeight="1">
      <c r="K69" s="30"/>
      <c r="M69" s="2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8"/>
  <sheetViews>
    <sheetView zoomScalePageLayoutView="0" workbookViewId="0" topLeftCell="A1">
      <selection activeCell="P5" sqref="P5"/>
    </sheetView>
  </sheetViews>
  <sheetFormatPr defaultColWidth="10.421875" defaultRowHeight="12.75"/>
  <cols>
    <col min="1" max="1" width="7.8515625" style="4" customWidth="1"/>
    <col min="2" max="2" width="21.00390625" style="26" bestFit="1" customWidth="1"/>
    <col min="3" max="3" width="5.140625" style="26" bestFit="1" customWidth="1"/>
    <col min="4" max="4" width="15.421875" style="21" customWidth="1"/>
    <col min="5" max="5" width="7.57421875" style="21" bestFit="1" customWidth="1"/>
    <col min="6" max="6" width="7.421875" style="27" bestFit="1" customWidth="1"/>
    <col min="7" max="7" width="7.57421875" style="15" customWidth="1"/>
    <col min="8" max="8" width="7.140625" style="15" customWidth="1"/>
    <col min="9" max="9" width="7.7109375" style="28" bestFit="1" customWidth="1"/>
    <col min="10" max="10" width="3.00390625" style="29" customWidth="1"/>
    <col min="11" max="11" width="5.7109375" style="28" customWidth="1"/>
    <col min="12" max="12" width="6.57421875" style="22" hidden="1" customWidth="1"/>
    <col min="13" max="13" width="10.7109375" style="21" hidden="1" customWidth="1"/>
    <col min="14" max="14" width="10.00390625" style="24" bestFit="1" customWidth="1"/>
    <col min="15" max="15" width="8.00390625" style="24" customWidth="1"/>
    <col min="16" max="16" width="8.57421875" style="24" customWidth="1"/>
    <col min="17" max="16384" width="10.421875" style="21" customWidth="1"/>
  </cols>
  <sheetData>
    <row r="1" spans="1:15" s="4" customFormat="1" ht="12" customHeight="1">
      <c r="A1" s="1" t="s">
        <v>38</v>
      </c>
      <c r="B1" s="2"/>
      <c r="C1" s="2"/>
      <c r="D1" s="3"/>
      <c r="F1" s="5"/>
      <c r="I1" s="6"/>
      <c r="J1" s="7"/>
      <c r="K1" s="8"/>
      <c r="M1" s="9" t="s">
        <v>0</v>
      </c>
      <c r="O1" s="10"/>
    </row>
    <row r="2" spans="1:15" s="4" customFormat="1" ht="12" customHeight="1">
      <c r="A2" s="1"/>
      <c r="B2" s="2"/>
      <c r="C2" s="2"/>
      <c r="D2" s="3"/>
      <c r="F2" s="5"/>
      <c r="I2" s="6"/>
      <c r="J2" s="7"/>
      <c r="K2" s="8"/>
      <c r="M2" s="9"/>
      <c r="O2" s="10"/>
    </row>
    <row r="3" spans="1:17" s="4" customFormat="1" ht="56.25">
      <c r="A3" s="11" t="s">
        <v>22</v>
      </c>
      <c r="B3" s="3" t="s">
        <v>3</v>
      </c>
      <c r="C3" s="3" t="s">
        <v>2</v>
      </c>
      <c r="D3" s="10" t="s">
        <v>4</v>
      </c>
      <c r="E3" s="10" t="s">
        <v>5</v>
      </c>
      <c r="F3" s="12" t="s">
        <v>6</v>
      </c>
      <c r="G3" s="13" t="s">
        <v>7</v>
      </c>
      <c r="H3" s="13" t="s">
        <v>8</v>
      </c>
      <c r="I3" s="14" t="s">
        <v>32</v>
      </c>
      <c r="J3" s="15"/>
      <c r="K3" s="13" t="s">
        <v>20</v>
      </c>
      <c r="L3" s="13"/>
      <c r="M3" s="9"/>
      <c r="N3" s="16" t="s">
        <v>9</v>
      </c>
      <c r="O3" s="17" t="s">
        <v>10</v>
      </c>
      <c r="P3" s="16" t="s">
        <v>11</v>
      </c>
      <c r="Q3" s="18"/>
    </row>
    <row r="4" spans="1:16" s="4" customFormat="1" ht="11.25">
      <c r="A4" s="19"/>
      <c r="B4" s="3"/>
      <c r="C4" s="3"/>
      <c r="D4" s="10"/>
      <c r="E4" s="10"/>
      <c r="F4" s="12"/>
      <c r="G4" s="13"/>
      <c r="H4" s="13"/>
      <c r="I4" s="14"/>
      <c r="J4" s="15"/>
      <c r="K4" s="14"/>
      <c r="L4" s="13"/>
      <c r="M4" s="9"/>
      <c r="N4" s="16"/>
      <c r="O4" s="17"/>
      <c r="P4" s="16"/>
    </row>
    <row r="5" spans="1:17" ht="10.5" customHeight="1">
      <c r="A5" s="4" t="s">
        <v>13</v>
      </c>
      <c r="B5" s="20" t="s">
        <v>26</v>
      </c>
      <c r="C5" s="20" t="s">
        <v>29</v>
      </c>
      <c r="D5" s="21" t="s">
        <v>1</v>
      </c>
      <c r="F5" s="15">
        <f>522046+10000</f>
        <v>532046</v>
      </c>
      <c r="G5" s="22">
        <f aca="true" t="shared" si="0" ref="G5:G12">F5-(F5/1.12)</f>
        <v>57004.92857142864</v>
      </c>
      <c r="H5" s="22">
        <f aca="true" t="shared" si="1" ref="H5:H11">K5*132</f>
        <v>0</v>
      </c>
      <c r="I5" s="7">
        <f aca="true" t="shared" si="2" ref="I5:I12">F5/12</f>
        <v>44337.166666666664</v>
      </c>
      <c r="J5" s="7"/>
      <c r="K5" s="7">
        <v>0</v>
      </c>
      <c r="L5" s="22">
        <f>K5*146</f>
        <v>0</v>
      </c>
      <c r="M5" s="23">
        <f aca="true" t="shared" si="3" ref="M5:M11">(F5-L5)/12</f>
        <v>44337.166666666664</v>
      </c>
      <c r="N5" s="24">
        <f>F5/1752</f>
        <v>303.67922374429224</v>
      </c>
      <c r="O5" s="24">
        <f>N5*1.65</f>
        <v>501.0707191780822</v>
      </c>
      <c r="P5" s="24">
        <f>(F5-(730*146))/1950</f>
        <v>218.18769230769232</v>
      </c>
      <c r="Q5" s="25"/>
    </row>
    <row r="6" spans="1:17" ht="10.5" customHeight="1">
      <c r="A6" s="4" t="s">
        <v>14</v>
      </c>
      <c r="F6" s="15">
        <f>534560+10000</f>
        <v>544560</v>
      </c>
      <c r="G6" s="22">
        <f t="shared" si="0"/>
        <v>58345.71428571432</v>
      </c>
      <c r="H6" s="22">
        <f t="shared" si="1"/>
        <v>0</v>
      </c>
      <c r="I6" s="7">
        <f t="shared" si="2"/>
        <v>45380</v>
      </c>
      <c r="J6" s="7"/>
      <c r="K6" s="7">
        <v>0</v>
      </c>
      <c r="L6" s="22">
        <f aca="true" t="shared" si="4" ref="L6:L12">K6*146</f>
        <v>0</v>
      </c>
      <c r="M6" s="23">
        <f t="shared" si="3"/>
        <v>45380</v>
      </c>
      <c r="N6" s="24">
        <f aca="true" t="shared" si="5" ref="N6:N11">F6/1752</f>
        <v>310.82191780821915</v>
      </c>
      <c r="O6" s="24">
        <f aca="true" t="shared" si="6" ref="O6:O12">N6*1.65</f>
        <v>512.8561643835616</v>
      </c>
      <c r="P6" s="24">
        <f aca="true" t="shared" si="7" ref="P6:P13">(F6-(730*146))/1950</f>
        <v>224.6051282051282</v>
      </c>
      <c r="Q6" s="25"/>
    </row>
    <row r="7" spans="1:17" ht="10.5" customHeight="1">
      <c r="A7" s="4" t="s">
        <v>15</v>
      </c>
      <c r="F7" s="15">
        <f>547077+10000</f>
        <v>557077</v>
      </c>
      <c r="G7" s="22">
        <f t="shared" si="0"/>
        <v>59686.82142857148</v>
      </c>
      <c r="H7" s="22">
        <f t="shared" si="1"/>
        <v>0</v>
      </c>
      <c r="I7" s="7">
        <f t="shared" si="2"/>
        <v>46423.083333333336</v>
      </c>
      <c r="J7" s="7"/>
      <c r="K7" s="7">
        <v>0</v>
      </c>
      <c r="L7" s="22">
        <f t="shared" si="4"/>
        <v>0</v>
      </c>
      <c r="M7" s="23">
        <f t="shared" si="3"/>
        <v>46423.083333333336</v>
      </c>
      <c r="N7" s="24">
        <f t="shared" si="5"/>
        <v>317.9663242009132</v>
      </c>
      <c r="O7" s="24">
        <f t="shared" si="6"/>
        <v>524.6444349315068</v>
      </c>
      <c r="P7" s="24">
        <f t="shared" si="7"/>
        <v>231.02410256410258</v>
      </c>
      <c r="Q7" s="25"/>
    </row>
    <row r="8" spans="1:17" ht="10.5" customHeight="1">
      <c r="A8" s="4" t="s">
        <v>16</v>
      </c>
      <c r="F8" s="15">
        <f>559593+10000</f>
        <v>569593</v>
      </c>
      <c r="G8" s="22">
        <f t="shared" si="0"/>
        <v>61027.82142857148</v>
      </c>
      <c r="H8" s="22">
        <f t="shared" si="1"/>
        <v>0</v>
      </c>
      <c r="I8" s="7">
        <f t="shared" si="2"/>
        <v>47466.083333333336</v>
      </c>
      <c r="J8" s="7"/>
      <c r="K8" s="7">
        <v>0</v>
      </c>
      <c r="L8" s="22">
        <f t="shared" si="4"/>
        <v>0</v>
      </c>
      <c r="M8" s="23">
        <f t="shared" si="3"/>
        <v>47466.083333333336</v>
      </c>
      <c r="N8" s="24">
        <f t="shared" si="5"/>
        <v>325.1101598173516</v>
      </c>
      <c r="O8" s="24">
        <f t="shared" si="6"/>
        <v>536.4317636986301</v>
      </c>
      <c r="P8" s="24">
        <f t="shared" si="7"/>
        <v>237.4425641025641</v>
      </c>
      <c r="Q8" s="25"/>
    </row>
    <row r="9" spans="1:17" ht="10.5" customHeight="1">
      <c r="A9" s="4" t="s">
        <v>17</v>
      </c>
      <c r="B9" s="20" t="s">
        <v>35</v>
      </c>
      <c r="C9" s="20" t="s">
        <v>28</v>
      </c>
      <c r="D9" s="21" t="s">
        <v>31</v>
      </c>
      <c r="F9" s="15">
        <f>572108+10000</f>
        <v>582108</v>
      </c>
      <c r="G9" s="22">
        <f t="shared" si="0"/>
        <v>62368.71428571432</v>
      </c>
      <c r="H9" s="22">
        <f t="shared" si="1"/>
        <v>0</v>
      </c>
      <c r="I9" s="7">
        <f t="shared" si="2"/>
        <v>48509</v>
      </c>
      <c r="J9" s="7"/>
      <c r="K9" s="7">
        <v>0</v>
      </c>
      <c r="L9" s="22">
        <f t="shared" si="4"/>
        <v>0</v>
      </c>
      <c r="M9" s="23">
        <f t="shared" si="3"/>
        <v>48509</v>
      </c>
      <c r="N9" s="24">
        <f t="shared" si="5"/>
        <v>332.25342465753425</v>
      </c>
      <c r="O9" s="24">
        <f t="shared" si="6"/>
        <v>548.2181506849315</v>
      </c>
      <c r="P9" s="24">
        <f t="shared" si="7"/>
        <v>243.8605128205128</v>
      </c>
      <c r="Q9" s="25"/>
    </row>
    <row r="10" spans="1:17" ht="10.5" customHeight="1">
      <c r="A10" s="4" t="s">
        <v>18</v>
      </c>
      <c r="F10" s="15">
        <f>584625+10000</f>
        <v>594625</v>
      </c>
      <c r="G10" s="22">
        <f t="shared" si="0"/>
        <v>63709.82142857148</v>
      </c>
      <c r="H10" s="22">
        <f t="shared" si="1"/>
        <v>0</v>
      </c>
      <c r="I10" s="7">
        <f t="shared" si="2"/>
        <v>49552.083333333336</v>
      </c>
      <c r="J10" s="7"/>
      <c r="K10" s="7">
        <v>0</v>
      </c>
      <c r="L10" s="22">
        <f t="shared" si="4"/>
        <v>0</v>
      </c>
      <c r="M10" s="23">
        <f t="shared" si="3"/>
        <v>49552.083333333336</v>
      </c>
      <c r="N10" s="24">
        <f t="shared" si="5"/>
        <v>339.3978310502283</v>
      </c>
      <c r="O10" s="24">
        <f t="shared" si="6"/>
        <v>560.0064212328767</v>
      </c>
      <c r="P10" s="24">
        <f t="shared" si="7"/>
        <v>250.27948717948718</v>
      </c>
      <c r="Q10" s="25"/>
    </row>
    <row r="11" spans="1:17" ht="10.5" customHeight="1">
      <c r="A11" s="4" t="s">
        <v>19</v>
      </c>
      <c r="F11" s="15">
        <f>601031+10000</f>
        <v>611031</v>
      </c>
      <c r="G11" s="22">
        <f t="shared" si="0"/>
        <v>65467.60714285716</v>
      </c>
      <c r="H11" s="22">
        <f t="shared" si="1"/>
        <v>0</v>
      </c>
      <c r="I11" s="7">
        <f t="shared" si="2"/>
        <v>50919.25</v>
      </c>
      <c r="J11" s="7"/>
      <c r="K11" s="7">
        <v>0</v>
      </c>
      <c r="L11" s="22">
        <f t="shared" si="4"/>
        <v>0</v>
      </c>
      <c r="M11" s="23">
        <f t="shared" si="3"/>
        <v>50919.25</v>
      </c>
      <c r="N11" s="24">
        <f t="shared" si="5"/>
        <v>348.76198630136986</v>
      </c>
      <c r="O11" s="24">
        <f t="shared" si="6"/>
        <v>575.4572773972602</v>
      </c>
      <c r="P11" s="24">
        <f t="shared" si="7"/>
        <v>258.6928205128205</v>
      </c>
      <c r="Q11" s="25"/>
    </row>
    <row r="12" spans="1:17" ht="10.5" customHeight="1">
      <c r="A12" s="4" t="s">
        <v>23</v>
      </c>
      <c r="F12" s="15">
        <f>616879+10000</f>
        <v>626879</v>
      </c>
      <c r="G12" s="22">
        <f t="shared" si="0"/>
        <v>67165.60714285716</v>
      </c>
      <c r="H12" s="22">
        <f>K12*132</f>
        <v>0</v>
      </c>
      <c r="I12" s="7">
        <f t="shared" si="2"/>
        <v>52239.916666666664</v>
      </c>
      <c r="J12" s="7"/>
      <c r="K12" s="7">
        <v>0</v>
      </c>
      <c r="L12" s="22">
        <f t="shared" si="4"/>
        <v>0</v>
      </c>
      <c r="M12" s="23">
        <f>(F12-L12)/12</f>
        <v>52239.916666666664</v>
      </c>
      <c r="N12" s="24">
        <f>F12/1752</f>
        <v>357.8076484018265</v>
      </c>
      <c r="O12" s="24">
        <f t="shared" si="6"/>
        <v>590.3826198630137</v>
      </c>
      <c r="P12" s="24">
        <f t="shared" si="7"/>
        <v>266.82</v>
      </c>
      <c r="Q12" s="25"/>
    </row>
    <row r="13" spans="1:17" ht="10.5" customHeight="1">
      <c r="A13" s="4" t="s">
        <v>37</v>
      </c>
      <c r="F13" s="15">
        <f>629379+10000</f>
        <v>639379</v>
      </c>
      <c r="G13" s="22">
        <f>F13-(F13/1.12)</f>
        <v>68504.89285714296</v>
      </c>
      <c r="H13" s="22">
        <f>K13*132</f>
        <v>0</v>
      </c>
      <c r="I13" s="7">
        <f>F13/12</f>
        <v>53281.583333333336</v>
      </c>
      <c r="J13" s="7"/>
      <c r="K13" s="7">
        <v>0</v>
      </c>
      <c r="L13" s="22">
        <f>K13*146</f>
        <v>0</v>
      </c>
      <c r="M13" s="23">
        <f>(F13-L13)/12</f>
        <v>53281.583333333336</v>
      </c>
      <c r="N13" s="24">
        <f>F13/1752</f>
        <v>364.9423515981735</v>
      </c>
      <c r="O13" s="24">
        <f>N13*1.65</f>
        <v>602.1548801369862</v>
      </c>
      <c r="P13" s="24">
        <f t="shared" si="7"/>
        <v>273.2302564102564</v>
      </c>
      <c r="Q13" s="25"/>
    </row>
    <row r="14" spans="11:13" ht="10.5" customHeight="1">
      <c r="K14" s="7">
        <v>0</v>
      </c>
      <c r="M14" s="23"/>
    </row>
    <row r="15" ht="10.5" customHeight="1">
      <c r="M15" s="23"/>
    </row>
    <row r="16" ht="10.5" customHeight="1">
      <c r="M16" s="23"/>
    </row>
    <row r="17" ht="10.5" customHeight="1">
      <c r="M17" s="23"/>
    </row>
    <row r="18" ht="10.5" customHeight="1">
      <c r="M18" s="23"/>
    </row>
    <row r="19" ht="10.5" customHeight="1">
      <c r="M19" s="23"/>
    </row>
    <row r="20" ht="10.5" customHeight="1">
      <c r="M20" s="23"/>
    </row>
    <row r="21" ht="10.5" customHeight="1">
      <c r="M21" s="23"/>
    </row>
    <row r="22" ht="10.5" customHeight="1">
      <c r="M22" s="23"/>
    </row>
    <row r="23" ht="10.5" customHeight="1">
      <c r="M23" s="23"/>
    </row>
    <row r="24" ht="10.5" customHeight="1">
      <c r="M24" s="23"/>
    </row>
    <row r="25" spans="11:13" ht="10.5" customHeight="1">
      <c r="K25" s="30"/>
      <c r="M25" s="23"/>
    </row>
    <row r="26" ht="12" customHeight="1"/>
    <row r="27" spans="1:15" s="4" customFormat="1" ht="12" customHeight="1">
      <c r="A27" s="1"/>
      <c r="B27" s="2"/>
      <c r="C27" s="2"/>
      <c r="D27" s="3"/>
      <c r="F27" s="5"/>
      <c r="I27" s="6"/>
      <c r="J27" s="7"/>
      <c r="K27" s="8"/>
      <c r="M27" s="9"/>
      <c r="O27" s="10"/>
    </row>
    <row r="28" spans="1:15" s="4" customFormat="1" ht="12" customHeight="1">
      <c r="A28" s="1"/>
      <c r="B28" s="2"/>
      <c r="C28" s="2"/>
      <c r="D28" s="3"/>
      <c r="F28" s="5"/>
      <c r="I28" s="6"/>
      <c r="J28" s="7"/>
      <c r="K28" s="8"/>
      <c r="M28" s="9"/>
      <c r="O28" s="10"/>
    </row>
    <row r="29" spans="1:13" ht="10.5" customHeight="1">
      <c r="A29" s="9"/>
      <c r="D29" s="26"/>
      <c r="F29" s="15"/>
      <c r="G29" s="22"/>
      <c r="H29" s="22"/>
      <c r="I29" s="7"/>
      <c r="J29" s="7"/>
      <c r="K29" s="7"/>
      <c r="M29" s="23"/>
    </row>
    <row r="30" spans="1:13" ht="10.5" customHeight="1">
      <c r="A30" s="9"/>
      <c r="D30" s="26"/>
      <c r="F30" s="15"/>
      <c r="G30" s="22"/>
      <c r="H30" s="22"/>
      <c r="I30" s="7"/>
      <c r="J30" s="7"/>
      <c r="K30" s="7"/>
      <c r="M30" s="23"/>
    </row>
    <row r="31" spans="1:13" ht="10.5" customHeight="1">
      <c r="A31" s="9"/>
      <c r="F31" s="15"/>
      <c r="G31" s="22"/>
      <c r="H31" s="22"/>
      <c r="I31" s="7"/>
      <c r="J31" s="7"/>
      <c r="K31" s="7"/>
      <c r="M31" s="23"/>
    </row>
    <row r="32" spans="1:13" ht="10.5" customHeight="1">
      <c r="A32" s="9"/>
      <c r="F32" s="15"/>
      <c r="G32" s="22"/>
      <c r="H32" s="22"/>
      <c r="I32" s="7"/>
      <c r="J32" s="7"/>
      <c r="K32" s="7"/>
      <c r="M32" s="23"/>
    </row>
    <row r="33" spans="1:13" ht="10.5" customHeight="1">
      <c r="A33" s="9"/>
      <c r="F33" s="15"/>
      <c r="G33" s="22"/>
      <c r="H33" s="22"/>
      <c r="I33" s="7"/>
      <c r="J33" s="7"/>
      <c r="K33" s="7"/>
      <c r="M33" s="23"/>
    </row>
    <row r="34" spans="1:13" ht="10.5" customHeight="1">
      <c r="A34" s="9"/>
      <c r="F34" s="15"/>
      <c r="G34" s="22"/>
      <c r="H34" s="22"/>
      <c r="I34" s="7"/>
      <c r="J34" s="7"/>
      <c r="K34" s="7"/>
      <c r="M34" s="23"/>
    </row>
    <row r="35" spans="1:13" ht="10.5" customHeight="1">
      <c r="A35" s="9"/>
      <c r="F35" s="15"/>
      <c r="G35" s="22"/>
      <c r="H35" s="22"/>
      <c r="I35" s="7"/>
      <c r="J35" s="7"/>
      <c r="K35" s="7"/>
      <c r="M35" s="23"/>
    </row>
    <row r="36" spans="1:13" ht="10.5" customHeight="1">
      <c r="A36" s="9"/>
      <c r="F36" s="15"/>
      <c r="G36" s="22"/>
      <c r="H36" s="22"/>
      <c r="I36" s="7"/>
      <c r="J36" s="7"/>
      <c r="K36" s="7"/>
      <c r="M36" s="23"/>
    </row>
    <row r="37" spans="1:13" ht="10.5" customHeight="1">
      <c r="A37" s="9"/>
      <c r="F37" s="15"/>
      <c r="G37" s="22"/>
      <c r="H37" s="22"/>
      <c r="I37" s="7"/>
      <c r="J37" s="7"/>
      <c r="K37" s="7"/>
      <c r="M37" s="23"/>
    </row>
    <row r="38" spans="1:13" ht="10.5" customHeight="1">
      <c r="A38" s="9"/>
      <c r="F38" s="15"/>
      <c r="G38" s="22"/>
      <c r="H38" s="22"/>
      <c r="I38" s="7"/>
      <c r="J38" s="7"/>
      <c r="K38" s="7"/>
      <c r="M38" s="23"/>
    </row>
    <row r="39" spans="1:13" ht="10.5" customHeight="1">
      <c r="A39" s="9"/>
      <c r="F39" s="15"/>
      <c r="G39" s="22"/>
      <c r="H39" s="22"/>
      <c r="I39" s="7"/>
      <c r="J39" s="7"/>
      <c r="K39" s="7"/>
      <c r="M39" s="23"/>
    </row>
    <row r="40" spans="1:15" ht="10.5" customHeight="1">
      <c r="A40" s="9"/>
      <c r="F40" s="4"/>
      <c r="G40" s="22"/>
      <c r="H40" s="22"/>
      <c r="I40" s="7"/>
      <c r="J40" s="31"/>
      <c r="K40" s="31"/>
      <c r="L40" s="32"/>
      <c r="M40" s="33"/>
      <c r="N40" s="34"/>
      <c r="O40" s="35"/>
    </row>
    <row r="41" spans="1:13" ht="10.5" customHeight="1">
      <c r="A41" s="36"/>
      <c r="F41" s="15"/>
      <c r="G41" s="22"/>
      <c r="H41" s="22"/>
      <c r="I41" s="7"/>
      <c r="J41" s="7"/>
      <c r="K41" s="7"/>
      <c r="M41" s="23"/>
    </row>
    <row r="42" spans="1:13" ht="10.5" customHeight="1">
      <c r="A42" s="36"/>
      <c r="F42" s="15"/>
      <c r="G42" s="22"/>
      <c r="H42" s="22"/>
      <c r="I42" s="7"/>
      <c r="J42" s="7"/>
      <c r="K42" s="7"/>
      <c r="M42" s="23"/>
    </row>
    <row r="43" spans="1:13" ht="10.5" customHeight="1">
      <c r="A43" s="36"/>
      <c r="F43" s="15"/>
      <c r="G43" s="22"/>
      <c r="H43" s="22"/>
      <c r="I43" s="7"/>
      <c r="J43" s="7"/>
      <c r="K43" s="7"/>
      <c r="M43" s="23"/>
    </row>
    <row r="44" spans="1:13" ht="10.5" customHeight="1">
      <c r="A44" s="36"/>
      <c r="F44" s="15"/>
      <c r="G44" s="22"/>
      <c r="H44" s="22"/>
      <c r="I44" s="7"/>
      <c r="J44" s="7"/>
      <c r="K44" s="7"/>
      <c r="M44" s="23"/>
    </row>
    <row r="45" spans="6:13" ht="10.5" customHeight="1">
      <c r="F45" s="15"/>
      <c r="G45" s="22"/>
      <c r="H45" s="22"/>
      <c r="I45" s="7"/>
      <c r="J45" s="7"/>
      <c r="K45" s="7"/>
      <c r="M45" s="23"/>
    </row>
    <row r="46" spans="6:13" ht="10.5" customHeight="1">
      <c r="F46" s="15"/>
      <c r="G46" s="22"/>
      <c r="H46" s="22"/>
      <c r="I46" s="7"/>
      <c r="J46" s="7"/>
      <c r="K46" s="7"/>
      <c r="M46" s="23"/>
    </row>
    <row r="47" spans="6:13" ht="10.5" customHeight="1">
      <c r="F47" s="15"/>
      <c r="G47" s="22"/>
      <c r="H47" s="22"/>
      <c r="I47" s="7"/>
      <c r="J47" s="7"/>
      <c r="K47" s="7"/>
      <c r="M47" s="23"/>
    </row>
    <row r="48" spans="6:13" ht="10.5" customHeight="1">
      <c r="F48" s="15"/>
      <c r="G48" s="22"/>
      <c r="H48" s="22"/>
      <c r="I48" s="7"/>
      <c r="J48" s="7"/>
      <c r="K48" s="7"/>
      <c r="M48" s="23"/>
    </row>
    <row r="49" spans="6:13" ht="10.5" customHeight="1">
      <c r="F49" s="15"/>
      <c r="G49" s="22"/>
      <c r="H49" s="22"/>
      <c r="I49" s="7"/>
      <c r="J49" s="7"/>
      <c r="K49" s="7"/>
      <c r="M49" s="23"/>
    </row>
    <row r="50" spans="6:13" ht="10.5" customHeight="1">
      <c r="F50" s="15"/>
      <c r="G50" s="22"/>
      <c r="H50" s="22"/>
      <c r="I50" s="7"/>
      <c r="J50" s="7"/>
      <c r="K50" s="7"/>
      <c r="M50" s="23"/>
    </row>
    <row r="51" spans="6:13" ht="10.5" customHeight="1">
      <c r="F51" s="15"/>
      <c r="G51" s="22"/>
      <c r="H51" s="22"/>
      <c r="I51" s="7"/>
      <c r="J51" s="7"/>
      <c r="K51" s="7"/>
      <c r="M51" s="23"/>
    </row>
    <row r="52" spans="6:13" ht="10.5" customHeight="1">
      <c r="F52" s="15"/>
      <c r="G52" s="22"/>
      <c r="H52" s="22"/>
      <c r="I52" s="7"/>
      <c r="J52" s="7"/>
      <c r="K52" s="7"/>
      <c r="M52" s="23"/>
    </row>
    <row r="53" spans="2:13" ht="10.5" customHeight="1">
      <c r="B53" s="20"/>
      <c r="C53" s="20"/>
      <c r="F53" s="15"/>
      <c r="G53" s="22"/>
      <c r="H53" s="22"/>
      <c r="I53" s="7"/>
      <c r="K53" s="7"/>
      <c r="M53" s="23"/>
    </row>
    <row r="54" spans="2:13" ht="10.5" customHeight="1">
      <c r="B54" s="20"/>
      <c r="C54" s="20"/>
      <c r="F54" s="15"/>
      <c r="G54" s="22"/>
      <c r="H54" s="22"/>
      <c r="I54" s="7"/>
      <c r="K54" s="7"/>
      <c r="M54" s="23"/>
    </row>
    <row r="55" spans="2:13" ht="10.5" customHeight="1">
      <c r="B55" s="20"/>
      <c r="C55" s="20"/>
      <c r="F55" s="15"/>
      <c r="G55" s="22"/>
      <c r="H55" s="22"/>
      <c r="I55" s="7"/>
      <c r="K55" s="7"/>
      <c r="M55" s="23"/>
    </row>
    <row r="56" spans="6:13" ht="10.5" customHeight="1">
      <c r="F56" s="15"/>
      <c r="G56" s="22"/>
      <c r="H56" s="22"/>
      <c r="I56" s="7"/>
      <c r="K56" s="7"/>
      <c r="M56" s="23"/>
    </row>
    <row r="57" spans="6:13" ht="10.5" customHeight="1">
      <c r="F57" s="15"/>
      <c r="G57" s="22"/>
      <c r="H57" s="22"/>
      <c r="I57" s="7"/>
      <c r="K57" s="7"/>
      <c r="M57" s="23"/>
    </row>
    <row r="58" spans="6:13" ht="10.5" customHeight="1">
      <c r="F58" s="15"/>
      <c r="G58" s="22"/>
      <c r="H58" s="22"/>
      <c r="I58" s="7"/>
      <c r="K58" s="7"/>
      <c r="M58" s="23"/>
    </row>
    <row r="59" spans="6:13" ht="10.5" customHeight="1">
      <c r="F59" s="15"/>
      <c r="G59" s="22"/>
      <c r="H59" s="22"/>
      <c r="I59" s="7"/>
      <c r="K59" s="7"/>
      <c r="M59" s="23"/>
    </row>
    <row r="60" spans="6:13" ht="10.5" customHeight="1">
      <c r="F60" s="15"/>
      <c r="G60" s="22"/>
      <c r="H60" s="22"/>
      <c r="I60" s="7"/>
      <c r="K60" s="7"/>
      <c r="M60" s="23"/>
    </row>
    <row r="61" spans="6:13" ht="10.5" customHeight="1">
      <c r="F61" s="15"/>
      <c r="G61" s="22"/>
      <c r="H61" s="22"/>
      <c r="I61" s="7"/>
      <c r="K61" s="7"/>
      <c r="M61" s="23"/>
    </row>
    <row r="62" spans="6:13" ht="10.5" customHeight="1">
      <c r="F62" s="15"/>
      <c r="G62" s="22"/>
      <c r="H62" s="22"/>
      <c r="I62" s="7"/>
      <c r="K62" s="7"/>
      <c r="M62" s="23"/>
    </row>
    <row r="63" spans="6:13" ht="10.5" customHeight="1">
      <c r="F63" s="15"/>
      <c r="G63" s="22"/>
      <c r="H63" s="22"/>
      <c r="I63" s="7"/>
      <c r="K63" s="7"/>
      <c r="M63" s="23"/>
    </row>
    <row r="64" spans="7:13" ht="10.5" customHeight="1">
      <c r="G64" s="22"/>
      <c r="H64" s="22"/>
      <c r="M64" s="23"/>
    </row>
    <row r="65" ht="10.5" customHeight="1">
      <c r="M65" s="23"/>
    </row>
    <row r="66" spans="11:13" ht="10.5" customHeight="1">
      <c r="K66" s="7"/>
      <c r="M66" s="23"/>
    </row>
    <row r="67" ht="10.5" customHeight="1">
      <c r="M67" s="23"/>
    </row>
    <row r="68" spans="11:13" ht="10.5" customHeight="1">
      <c r="K68" s="30"/>
      <c r="M68" s="2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8"/>
  <sheetViews>
    <sheetView zoomScalePageLayoutView="0" workbookViewId="0" topLeftCell="A1">
      <selection activeCell="P5" sqref="P5"/>
    </sheetView>
  </sheetViews>
  <sheetFormatPr defaultColWidth="10.421875" defaultRowHeight="12.75"/>
  <cols>
    <col min="1" max="1" width="7.8515625" style="4" customWidth="1"/>
    <col min="2" max="2" width="21.00390625" style="26" bestFit="1" customWidth="1"/>
    <col min="3" max="3" width="5.140625" style="26" bestFit="1" customWidth="1"/>
    <col min="4" max="4" width="15.421875" style="21" customWidth="1"/>
    <col min="5" max="5" width="7.57421875" style="21" bestFit="1" customWidth="1"/>
    <col min="6" max="6" width="7.421875" style="27" bestFit="1" customWidth="1"/>
    <col min="7" max="7" width="7.57421875" style="15" customWidth="1"/>
    <col min="8" max="8" width="7.140625" style="15" customWidth="1"/>
    <col min="9" max="9" width="7.7109375" style="28" bestFit="1" customWidth="1"/>
    <col min="10" max="10" width="3.00390625" style="29" customWidth="1"/>
    <col min="11" max="11" width="5.7109375" style="28" customWidth="1"/>
    <col min="12" max="12" width="6.57421875" style="22" hidden="1" customWidth="1"/>
    <col min="13" max="13" width="10.7109375" style="21" hidden="1" customWidth="1"/>
    <col min="14" max="14" width="10.00390625" style="24" bestFit="1" customWidth="1"/>
    <col min="15" max="15" width="8.00390625" style="24" customWidth="1"/>
    <col min="16" max="16" width="8.57421875" style="24" customWidth="1"/>
    <col min="17" max="16384" width="10.421875" style="21" customWidth="1"/>
  </cols>
  <sheetData>
    <row r="1" spans="1:15" s="4" customFormat="1" ht="12" customHeight="1">
      <c r="A1" s="1" t="s">
        <v>39</v>
      </c>
      <c r="B1" s="2"/>
      <c r="C1" s="2"/>
      <c r="D1" s="3"/>
      <c r="F1" s="5"/>
      <c r="I1" s="6"/>
      <c r="J1" s="7"/>
      <c r="K1" s="8"/>
      <c r="M1" s="9" t="s">
        <v>0</v>
      </c>
      <c r="O1" s="10"/>
    </row>
    <row r="2" spans="1:15" s="4" customFormat="1" ht="12" customHeight="1">
      <c r="A2" s="1"/>
      <c r="B2" s="2"/>
      <c r="C2" s="2"/>
      <c r="D2" s="3"/>
      <c r="F2" s="5"/>
      <c r="I2" s="6"/>
      <c r="J2" s="7"/>
      <c r="K2" s="8"/>
      <c r="M2" s="9"/>
      <c r="O2" s="10"/>
    </row>
    <row r="3" spans="1:17" s="4" customFormat="1" ht="56.25">
      <c r="A3" s="11" t="s">
        <v>22</v>
      </c>
      <c r="B3" s="3" t="s">
        <v>3</v>
      </c>
      <c r="C3" s="3" t="s">
        <v>2</v>
      </c>
      <c r="D3" s="10" t="s">
        <v>4</v>
      </c>
      <c r="E3" s="10" t="s">
        <v>5</v>
      </c>
      <c r="F3" s="12" t="s">
        <v>6</v>
      </c>
      <c r="G3" s="13" t="s">
        <v>7</v>
      </c>
      <c r="H3" s="13" t="s">
        <v>8</v>
      </c>
      <c r="I3" s="14" t="s">
        <v>32</v>
      </c>
      <c r="J3" s="15"/>
      <c r="K3" s="13" t="s">
        <v>20</v>
      </c>
      <c r="L3" s="13"/>
      <c r="M3" s="9"/>
      <c r="N3" s="16" t="s">
        <v>9</v>
      </c>
      <c r="O3" s="17" t="s">
        <v>10</v>
      </c>
      <c r="P3" s="16" t="s">
        <v>11</v>
      </c>
      <c r="Q3" s="18"/>
    </row>
    <row r="4" spans="1:16" s="4" customFormat="1" ht="11.25">
      <c r="A4" s="19"/>
      <c r="B4" s="3"/>
      <c r="C4" s="3"/>
      <c r="D4" s="10"/>
      <c r="E4" s="10"/>
      <c r="F4" s="12"/>
      <c r="G4" s="13"/>
      <c r="H4" s="13"/>
      <c r="I4" s="14"/>
      <c r="J4" s="15"/>
      <c r="K4" s="14"/>
      <c r="L4" s="13"/>
      <c r="M4" s="9"/>
      <c r="N4" s="16"/>
      <c r="O4" s="17"/>
      <c r="P4" s="16"/>
    </row>
    <row r="5" spans="1:17" ht="10.5" customHeight="1">
      <c r="A5" s="4" t="s">
        <v>13</v>
      </c>
      <c r="B5" s="20" t="s">
        <v>26</v>
      </c>
      <c r="C5" s="20" t="s">
        <v>29</v>
      </c>
      <c r="D5" s="21" t="s">
        <v>1</v>
      </c>
      <c r="F5" s="15">
        <f>522046+10000+5340</f>
        <v>537386</v>
      </c>
      <c r="G5" s="22">
        <f aca="true" t="shared" si="0" ref="G5:G12">F5-(F5/1.12)</f>
        <v>57577.07142857148</v>
      </c>
      <c r="H5" s="22">
        <f aca="true" t="shared" si="1" ref="H5:H11">K5*132</f>
        <v>0</v>
      </c>
      <c r="I5" s="7">
        <f aca="true" t="shared" si="2" ref="I5:I12">F5/12</f>
        <v>44782.166666666664</v>
      </c>
      <c r="J5" s="7"/>
      <c r="K5" s="7">
        <v>0</v>
      </c>
      <c r="L5" s="22">
        <f>K5*146</f>
        <v>0</v>
      </c>
      <c r="M5" s="23">
        <f aca="true" t="shared" si="3" ref="M5:M11">(F5-L5)/12</f>
        <v>44782.166666666664</v>
      </c>
      <c r="N5" s="24">
        <f>F5/1752</f>
        <v>306.7271689497717</v>
      </c>
      <c r="O5" s="24">
        <f>N5*1.65</f>
        <v>506.09982876712326</v>
      </c>
      <c r="P5" s="24">
        <f>(F5-(735*146))/1950</f>
        <v>220.55179487179487</v>
      </c>
      <c r="Q5" s="25"/>
    </row>
    <row r="6" spans="1:17" ht="10.5" customHeight="1">
      <c r="A6" s="4" t="s">
        <v>14</v>
      </c>
      <c r="F6" s="15">
        <f>534560+10000+5340</f>
        <v>549900</v>
      </c>
      <c r="G6" s="22">
        <f t="shared" si="0"/>
        <v>58917.85714285722</v>
      </c>
      <c r="H6" s="22">
        <f t="shared" si="1"/>
        <v>0</v>
      </c>
      <c r="I6" s="7">
        <f t="shared" si="2"/>
        <v>45825</v>
      </c>
      <c r="J6" s="7"/>
      <c r="K6" s="7">
        <v>0</v>
      </c>
      <c r="L6" s="22">
        <f aca="true" t="shared" si="4" ref="L6:L12">K6*146</f>
        <v>0</v>
      </c>
      <c r="M6" s="23">
        <f t="shared" si="3"/>
        <v>45825</v>
      </c>
      <c r="N6" s="24">
        <f aca="true" t="shared" si="5" ref="N6:N11">F6/1752</f>
        <v>313.86986301369865</v>
      </c>
      <c r="O6" s="24">
        <f aca="true" t="shared" si="6" ref="O6:O12">N6*1.65</f>
        <v>517.8852739726027</v>
      </c>
      <c r="P6" s="24">
        <f aca="true" t="shared" si="7" ref="P6:P13">(F6-(735*146))/1950</f>
        <v>226.96923076923076</v>
      </c>
      <c r="Q6" s="25"/>
    </row>
    <row r="7" spans="1:17" ht="10.5" customHeight="1">
      <c r="A7" s="4" t="s">
        <v>15</v>
      </c>
      <c r="F7" s="15">
        <f>547077+10000+5340</f>
        <v>562417</v>
      </c>
      <c r="G7" s="22">
        <f t="shared" si="0"/>
        <v>60258.96428571432</v>
      </c>
      <c r="H7" s="22">
        <f t="shared" si="1"/>
        <v>0</v>
      </c>
      <c r="I7" s="7">
        <f t="shared" si="2"/>
        <v>46868.083333333336</v>
      </c>
      <c r="J7" s="7"/>
      <c r="K7" s="7">
        <v>0</v>
      </c>
      <c r="L7" s="22">
        <f t="shared" si="4"/>
        <v>0</v>
      </c>
      <c r="M7" s="23">
        <f t="shared" si="3"/>
        <v>46868.083333333336</v>
      </c>
      <c r="N7" s="24">
        <f t="shared" si="5"/>
        <v>321.0142694063927</v>
      </c>
      <c r="O7" s="24">
        <f t="shared" si="6"/>
        <v>529.6735445205479</v>
      </c>
      <c r="P7" s="24">
        <f t="shared" si="7"/>
        <v>233.38820512820513</v>
      </c>
      <c r="Q7" s="25"/>
    </row>
    <row r="8" spans="1:17" ht="10.5" customHeight="1">
      <c r="A8" s="4" t="s">
        <v>16</v>
      </c>
      <c r="F8" s="15">
        <f>559593+10000+5340</f>
        <v>574933</v>
      </c>
      <c r="G8" s="22">
        <f t="shared" si="0"/>
        <v>61599.96428571432</v>
      </c>
      <c r="H8" s="22">
        <f t="shared" si="1"/>
        <v>0</v>
      </c>
      <c r="I8" s="7">
        <f t="shared" si="2"/>
        <v>47911.083333333336</v>
      </c>
      <c r="J8" s="7"/>
      <c r="K8" s="7">
        <v>0</v>
      </c>
      <c r="L8" s="22">
        <f t="shared" si="4"/>
        <v>0</v>
      </c>
      <c r="M8" s="23">
        <f t="shared" si="3"/>
        <v>47911.083333333336</v>
      </c>
      <c r="N8" s="24">
        <f t="shared" si="5"/>
        <v>328.158105022831</v>
      </c>
      <c r="O8" s="24">
        <f t="shared" si="6"/>
        <v>541.4608732876711</v>
      </c>
      <c r="P8" s="24">
        <f t="shared" si="7"/>
        <v>239.80666666666667</v>
      </c>
      <c r="Q8" s="25"/>
    </row>
    <row r="9" spans="1:17" ht="10.5" customHeight="1">
      <c r="A9" s="4" t="s">
        <v>17</v>
      </c>
      <c r="B9" s="20" t="s">
        <v>35</v>
      </c>
      <c r="C9" s="20" t="s">
        <v>28</v>
      </c>
      <c r="D9" s="21" t="s">
        <v>31</v>
      </c>
      <c r="F9" s="15">
        <f>572108+10000+5340</f>
        <v>587448</v>
      </c>
      <c r="G9" s="22">
        <f t="shared" si="0"/>
        <v>62940.85714285716</v>
      </c>
      <c r="H9" s="22">
        <f t="shared" si="1"/>
        <v>0</v>
      </c>
      <c r="I9" s="7">
        <f t="shared" si="2"/>
        <v>48954</v>
      </c>
      <c r="J9" s="7"/>
      <c r="K9" s="7">
        <v>0</v>
      </c>
      <c r="L9" s="22">
        <f t="shared" si="4"/>
        <v>0</v>
      </c>
      <c r="M9" s="23">
        <f t="shared" si="3"/>
        <v>48954</v>
      </c>
      <c r="N9" s="24">
        <f t="shared" si="5"/>
        <v>335.3013698630137</v>
      </c>
      <c r="O9" s="24">
        <f t="shared" si="6"/>
        <v>553.2472602739725</v>
      </c>
      <c r="P9" s="24">
        <f t="shared" si="7"/>
        <v>246.2246153846154</v>
      </c>
      <c r="Q9" s="25"/>
    </row>
    <row r="10" spans="1:17" ht="10.5" customHeight="1">
      <c r="A10" s="4" t="s">
        <v>18</v>
      </c>
      <c r="F10" s="15">
        <f>584625+10000+5340</f>
        <v>599965</v>
      </c>
      <c r="G10" s="22">
        <f t="shared" si="0"/>
        <v>64281.96428571432</v>
      </c>
      <c r="H10" s="22">
        <f t="shared" si="1"/>
        <v>0</v>
      </c>
      <c r="I10" s="7">
        <f t="shared" si="2"/>
        <v>49997.083333333336</v>
      </c>
      <c r="J10" s="7"/>
      <c r="K10" s="7">
        <v>0</v>
      </c>
      <c r="L10" s="22">
        <f t="shared" si="4"/>
        <v>0</v>
      </c>
      <c r="M10" s="23">
        <f t="shared" si="3"/>
        <v>49997.083333333336</v>
      </c>
      <c r="N10" s="24">
        <f t="shared" si="5"/>
        <v>342.44577625570776</v>
      </c>
      <c r="O10" s="24">
        <f t="shared" si="6"/>
        <v>565.0355308219177</v>
      </c>
      <c r="P10" s="24">
        <f t="shared" si="7"/>
        <v>252.64358974358976</v>
      </c>
      <c r="Q10" s="25"/>
    </row>
    <row r="11" spans="1:17" ht="10.5" customHeight="1">
      <c r="A11" s="4" t="s">
        <v>19</v>
      </c>
      <c r="F11" s="15">
        <f>601031+10000+5340</f>
        <v>616371</v>
      </c>
      <c r="G11" s="22">
        <f t="shared" si="0"/>
        <v>66039.75</v>
      </c>
      <c r="H11" s="22">
        <f t="shared" si="1"/>
        <v>0</v>
      </c>
      <c r="I11" s="7">
        <f t="shared" si="2"/>
        <v>51364.25</v>
      </c>
      <c r="J11" s="7"/>
      <c r="K11" s="7">
        <v>0</v>
      </c>
      <c r="L11" s="22">
        <f t="shared" si="4"/>
        <v>0</v>
      </c>
      <c r="M11" s="23">
        <f t="shared" si="3"/>
        <v>51364.25</v>
      </c>
      <c r="N11" s="24">
        <f t="shared" si="5"/>
        <v>351.8099315068493</v>
      </c>
      <c r="O11" s="24">
        <f t="shared" si="6"/>
        <v>580.4863869863013</v>
      </c>
      <c r="P11" s="24">
        <f t="shared" si="7"/>
        <v>261.05692307692306</v>
      </c>
      <c r="Q11" s="25"/>
    </row>
    <row r="12" spans="1:17" ht="10.5" customHeight="1">
      <c r="A12" s="4" t="s">
        <v>23</v>
      </c>
      <c r="F12" s="15">
        <f>616879+10000+5340</f>
        <v>632219</v>
      </c>
      <c r="G12" s="22">
        <f t="shared" si="0"/>
        <v>67737.75</v>
      </c>
      <c r="H12" s="22">
        <f>K12*132</f>
        <v>0</v>
      </c>
      <c r="I12" s="7">
        <f t="shared" si="2"/>
        <v>52684.916666666664</v>
      </c>
      <c r="J12" s="7"/>
      <c r="K12" s="7">
        <v>0</v>
      </c>
      <c r="L12" s="22">
        <f t="shared" si="4"/>
        <v>0</v>
      </c>
      <c r="M12" s="23">
        <f>(F12-L12)/12</f>
        <v>52684.916666666664</v>
      </c>
      <c r="N12" s="24">
        <f>F12/1752</f>
        <v>360.85559360730593</v>
      </c>
      <c r="O12" s="24">
        <f t="shared" si="6"/>
        <v>595.4117294520547</v>
      </c>
      <c r="P12" s="24">
        <f t="shared" si="7"/>
        <v>269.18410256410255</v>
      </c>
      <c r="Q12" s="25"/>
    </row>
    <row r="13" spans="1:17" ht="10.5" customHeight="1">
      <c r="A13" s="4" t="s">
        <v>37</v>
      </c>
      <c r="F13" s="15">
        <f>629379+10000+6340</f>
        <v>645719</v>
      </c>
      <c r="G13" s="22">
        <f>F13-(F13/1.12)</f>
        <v>69184.17857142864</v>
      </c>
      <c r="H13" s="22">
        <f>K13*132</f>
        <v>0</v>
      </c>
      <c r="I13" s="7">
        <f>F13/12</f>
        <v>53809.916666666664</v>
      </c>
      <c r="J13" s="7"/>
      <c r="K13" s="7">
        <v>0</v>
      </c>
      <c r="L13" s="22">
        <f>K13*146</f>
        <v>0</v>
      </c>
      <c r="M13" s="23">
        <f>(F13-L13)/12</f>
        <v>53809.916666666664</v>
      </c>
      <c r="N13" s="24">
        <f>F13/1752</f>
        <v>368.56107305936075</v>
      </c>
      <c r="O13" s="24">
        <f>N13*1.65</f>
        <v>608.1257705479452</v>
      </c>
      <c r="P13" s="24">
        <f t="shared" si="7"/>
        <v>276.1071794871795</v>
      </c>
      <c r="Q13" s="25"/>
    </row>
    <row r="14" spans="11:13" ht="10.5" customHeight="1">
      <c r="K14" s="7">
        <v>0</v>
      </c>
      <c r="M14" s="23"/>
    </row>
    <row r="15" ht="10.5" customHeight="1">
      <c r="M15" s="23"/>
    </row>
    <row r="16" ht="10.5" customHeight="1">
      <c r="M16" s="23"/>
    </row>
    <row r="17" ht="10.5" customHeight="1">
      <c r="M17" s="23"/>
    </row>
    <row r="18" ht="10.5" customHeight="1">
      <c r="M18" s="23"/>
    </row>
    <row r="19" ht="10.5" customHeight="1">
      <c r="M19" s="23"/>
    </row>
    <row r="20" ht="10.5" customHeight="1">
      <c r="M20" s="23"/>
    </row>
    <row r="21" ht="10.5" customHeight="1">
      <c r="M21" s="23"/>
    </row>
    <row r="22" ht="10.5" customHeight="1">
      <c r="M22" s="23"/>
    </row>
    <row r="23" ht="10.5" customHeight="1">
      <c r="M23" s="23"/>
    </row>
    <row r="24" ht="10.5" customHeight="1">
      <c r="M24" s="23"/>
    </row>
    <row r="25" spans="11:13" ht="10.5" customHeight="1">
      <c r="K25" s="30"/>
      <c r="M25" s="23"/>
    </row>
    <row r="26" ht="12" customHeight="1"/>
    <row r="27" spans="1:15" s="4" customFormat="1" ht="12" customHeight="1">
      <c r="A27" s="1"/>
      <c r="B27" s="2"/>
      <c r="C27" s="2"/>
      <c r="D27" s="3"/>
      <c r="F27" s="5"/>
      <c r="I27" s="6"/>
      <c r="J27" s="7"/>
      <c r="K27" s="8"/>
      <c r="M27" s="9"/>
      <c r="O27" s="10"/>
    </row>
    <row r="28" spans="1:15" s="4" customFormat="1" ht="12" customHeight="1">
      <c r="A28" s="1"/>
      <c r="B28" s="2"/>
      <c r="C28" s="2"/>
      <c r="D28" s="3"/>
      <c r="F28" s="5"/>
      <c r="I28" s="6"/>
      <c r="J28" s="7"/>
      <c r="K28" s="8"/>
      <c r="M28" s="9"/>
      <c r="O28" s="10"/>
    </row>
    <row r="29" spans="1:13" ht="10.5" customHeight="1">
      <c r="A29" s="9"/>
      <c r="D29" s="26"/>
      <c r="F29" s="15"/>
      <c r="G29" s="22"/>
      <c r="H29" s="22"/>
      <c r="I29" s="7"/>
      <c r="J29" s="7"/>
      <c r="K29" s="7"/>
      <c r="M29" s="23"/>
    </row>
    <row r="30" spans="1:13" ht="10.5" customHeight="1">
      <c r="A30" s="9"/>
      <c r="D30" s="26"/>
      <c r="F30" s="15"/>
      <c r="G30" s="22"/>
      <c r="H30" s="22"/>
      <c r="I30" s="7"/>
      <c r="J30" s="7"/>
      <c r="K30" s="7"/>
      <c r="M30" s="23"/>
    </row>
    <row r="31" spans="1:13" ht="10.5" customHeight="1">
      <c r="A31" s="9"/>
      <c r="F31" s="15"/>
      <c r="G31" s="22"/>
      <c r="H31" s="22"/>
      <c r="I31" s="7"/>
      <c r="J31" s="7"/>
      <c r="K31" s="7"/>
      <c r="M31" s="23"/>
    </row>
    <row r="32" spans="1:13" ht="10.5" customHeight="1">
      <c r="A32" s="9"/>
      <c r="F32" s="15"/>
      <c r="G32" s="22"/>
      <c r="H32" s="22"/>
      <c r="I32" s="7"/>
      <c r="J32" s="7"/>
      <c r="K32" s="7"/>
      <c r="M32" s="23"/>
    </row>
    <row r="33" spans="1:13" ht="10.5" customHeight="1">
      <c r="A33" s="9"/>
      <c r="F33" s="15"/>
      <c r="G33" s="22"/>
      <c r="H33" s="22"/>
      <c r="I33" s="7"/>
      <c r="J33" s="7"/>
      <c r="K33" s="7"/>
      <c r="M33" s="23"/>
    </row>
    <row r="34" spans="1:13" ht="10.5" customHeight="1">
      <c r="A34" s="9"/>
      <c r="F34" s="15"/>
      <c r="G34" s="22"/>
      <c r="H34" s="22"/>
      <c r="I34" s="7"/>
      <c r="J34" s="7"/>
      <c r="K34" s="7"/>
      <c r="M34" s="23"/>
    </row>
    <row r="35" spans="1:13" ht="10.5" customHeight="1">
      <c r="A35" s="9"/>
      <c r="F35" s="15"/>
      <c r="G35" s="22"/>
      <c r="H35" s="22"/>
      <c r="I35" s="7"/>
      <c r="J35" s="7"/>
      <c r="K35" s="7"/>
      <c r="M35" s="23"/>
    </row>
    <row r="36" spans="1:13" ht="10.5" customHeight="1">
      <c r="A36" s="9"/>
      <c r="F36" s="15"/>
      <c r="G36" s="22"/>
      <c r="H36" s="22"/>
      <c r="I36" s="7"/>
      <c r="J36" s="7"/>
      <c r="K36" s="7"/>
      <c r="M36" s="23"/>
    </row>
    <row r="37" spans="1:13" ht="10.5" customHeight="1">
      <c r="A37" s="9"/>
      <c r="F37" s="15"/>
      <c r="G37" s="22"/>
      <c r="H37" s="22"/>
      <c r="I37" s="7"/>
      <c r="J37" s="7"/>
      <c r="K37" s="7"/>
      <c r="M37" s="23"/>
    </row>
    <row r="38" spans="1:13" ht="10.5" customHeight="1">
      <c r="A38" s="9"/>
      <c r="F38" s="15"/>
      <c r="G38" s="22"/>
      <c r="H38" s="22"/>
      <c r="I38" s="7"/>
      <c r="J38" s="7"/>
      <c r="K38" s="7"/>
      <c r="M38" s="23"/>
    </row>
    <row r="39" spans="1:13" ht="10.5" customHeight="1">
      <c r="A39" s="9"/>
      <c r="F39" s="15"/>
      <c r="G39" s="22"/>
      <c r="H39" s="22"/>
      <c r="I39" s="7"/>
      <c r="J39" s="7"/>
      <c r="K39" s="7"/>
      <c r="M39" s="23"/>
    </row>
    <row r="40" spans="1:15" ht="10.5" customHeight="1">
      <c r="A40" s="9"/>
      <c r="F40" s="4"/>
      <c r="G40" s="22"/>
      <c r="H40" s="22"/>
      <c r="I40" s="7"/>
      <c r="J40" s="31"/>
      <c r="K40" s="31"/>
      <c r="L40" s="32"/>
      <c r="M40" s="33"/>
      <c r="N40" s="34"/>
      <c r="O40" s="35"/>
    </row>
    <row r="41" spans="1:13" ht="10.5" customHeight="1">
      <c r="A41" s="36"/>
      <c r="F41" s="15"/>
      <c r="G41" s="22"/>
      <c r="H41" s="22"/>
      <c r="I41" s="7"/>
      <c r="J41" s="7"/>
      <c r="K41" s="7"/>
      <c r="M41" s="23"/>
    </row>
    <row r="42" spans="1:13" ht="10.5" customHeight="1">
      <c r="A42" s="36"/>
      <c r="F42" s="15"/>
      <c r="G42" s="22"/>
      <c r="H42" s="22"/>
      <c r="I42" s="7"/>
      <c r="J42" s="7"/>
      <c r="K42" s="7"/>
      <c r="M42" s="23"/>
    </row>
    <row r="43" spans="1:13" ht="10.5" customHeight="1">
      <c r="A43" s="36"/>
      <c r="F43" s="15"/>
      <c r="G43" s="22"/>
      <c r="H43" s="22"/>
      <c r="I43" s="7"/>
      <c r="J43" s="7"/>
      <c r="K43" s="7"/>
      <c r="M43" s="23"/>
    </row>
    <row r="44" spans="1:13" ht="10.5" customHeight="1">
      <c r="A44" s="36"/>
      <c r="F44" s="15"/>
      <c r="G44" s="22"/>
      <c r="H44" s="22"/>
      <c r="I44" s="7"/>
      <c r="J44" s="7"/>
      <c r="K44" s="7"/>
      <c r="M44" s="23"/>
    </row>
    <row r="45" spans="6:13" ht="10.5" customHeight="1">
      <c r="F45" s="15"/>
      <c r="G45" s="22"/>
      <c r="H45" s="22"/>
      <c r="I45" s="7"/>
      <c r="J45" s="7"/>
      <c r="K45" s="7"/>
      <c r="M45" s="23"/>
    </row>
    <row r="46" spans="6:13" ht="10.5" customHeight="1">
      <c r="F46" s="15"/>
      <c r="G46" s="22"/>
      <c r="H46" s="22"/>
      <c r="I46" s="7"/>
      <c r="J46" s="7"/>
      <c r="K46" s="7"/>
      <c r="M46" s="23"/>
    </row>
    <row r="47" spans="6:13" ht="10.5" customHeight="1">
      <c r="F47" s="15"/>
      <c r="G47" s="22"/>
      <c r="H47" s="22"/>
      <c r="I47" s="7"/>
      <c r="J47" s="7"/>
      <c r="K47" s="7"/>
      <c r="M47" s="23"/>
    </row>
    <row r="48" spans="6:13" ht="10.5" customHeight="1">
      <c r="F48" s="15"/>
      <c r="G48" s="22"/>
      <c r="H48" s="22"/>
      <c r="I48" s="7"/>
      <c r="J48" s="7"/>
      <c r="K48" s="7"/>
      <c r="M48" s="23"/>
    </row>
    <row r="49" spans="6:13" ht="10.5" customHeight="1">
      <c r="F49" s="15"/>
      <c r="G49" s="22"/>
      <c r="H49" s="22"/>
      <c r="I49" s="7"/>
      <c r="J49" s="7"/>
      <c r="K49" s="7"/>
      <c r="M49" s="23"/>
    </row>
    <row r="50" spans="6:13" ht="10.5" customHeight="1">
      <c r="F50" s="15"/>
      <c r="G50" s="22"/>
      <c r="H50" s="22"/>
      <c r="I50" s="7"/>
      <c r="J50" s="7"/>
      <c r="K50" s="7"/>
      <c r="M50" s="23"/>
    </row>
    <row r="51" spans="6:13" ht="10.5" customHeight="1">
      <c r="F51" s="15"/>
      <c r="G51" s="22"/>
      <c r="H51" s="22"/>
      <c r="I51" s="7"/>
      <c r="J51" s="7"/>
      <c r="K51" s="7"/>
      <c r="M51" s="23"/>
    </row>
    <row r="52" spans="6:13" ht="10.5" customHeight="1">
      <c r="F52" s="15"/>
      <c r="G52" s="22"/>
      <c r="H52" s="22"/>
      <c r="I52" s="7"/>
      <c r="J52" s="7"/>
      <c r="K52" s="7"/>
      <c r="M52" s="23"/>
    </row>
    <row r="53" spans="2:13" ht="10.5" customHeight="1">
      <c r="B53" s="20"/>
      <c r="C53" s="20"/>
      <c r="F53" s="15"/>
      <c r="G53" s="22"/>
      <c r="H53" s="22"/>
      <c r="I53" s="7"/>
      <c r="K53" s="7"/>
      <c r="M53" s="23"/>
    </row>
    <row r="54" spans="2:13" ht="10.5" customHeight="1">
      <c r="B54" s="20"/>
      <c r="C54" s="20"/>
      <c r="F54" s="15"/>
      <c r="G54" s="22"/>
      <c r="H54" s="22"/>
      <c r="I54" s="7"/>
      <c r="K54" s="7"/>
      <c r="M54" s="23"/>
    </row>
    <row r="55" spans="2:13" ht="10.5" customHeight="1">
      <c r="B55" s="20"/>
      <c r="C55" s="20"/>
      <c r="F55" s="15"/>
      <c r="G55" s="22"/>
      <c r="H55" s="22"/>
      <c r="I55" s="7"/>
      <c r="K55" s="7"/>
      <c r="M55" s="23"/>
    </row>
    <row r="56" spans="6:13" ht="10.5" customHeight="1">
      <c r="F56" s="15"/>
      <c r="G56" s="22"/>
      <c r="H56" s="22"/>
      <c r="I56" s="7"/>
      <c r="K56" s="7"/>
      <c r="M56" s="23"/>
    </row>
    <row r="57" spans="6:13" ht="10.5" customHeight="1">
      <c r="F57" s="15"/>
      <c r="G57" s="22"/>
      <c r="H57" s="22"/>
      <c r="I57" s="7"/>
      <c r="K57" s="7"/>
      <c r="M57" s="23"/>
    </row>
    <row r="58" spans="6:13" ht="10.5" customHeight="1">
      <c r="F58" s="15"/>
      <c r="G58" s="22"/>
      <c r="H58" s="22"/>
      <c r="I58" s="7"/>
      <c r="K58" s="7"/>
      <c r="M58" s="23"/>
    </row>
    <row r="59" spans="6:13" ht="10.5" customHeight="1">
      <c r="F59" s="15"/>
      <c r="G59" s="22"/>
      <c r="H59" s="22"/>
      <c r="I59" s="7"/>
      <c r="K59" s="7"/>
      <c r="M59" s="23"/>
    </row>
    <row r="60" spans="6:13" ht="10.5" customHeight="1">
      <c r="F60" s="15"/>
      <c r="G60" s="22"/>
      <c r="H60" s="22"/>
      <c r="I60" s="7"/>
      <c r="K60" s="7"/>
      <c r="M60" s="23"/>
    </row>
    <row r="61" spans="6:13" ht="10.5" customHeight="1">
      <c r="F61" s="15"/>
      <c r="G61" s="22"/>
      <c r="H61" s="22"/>
      <c r="I61" s="7"/>
      <c r="K61" s="7"/>
      <c r="M61" s="23"/>
    </row>
    <row r="62" spans="6:13" ht="10.5" customHeight="1">
      <c r="F62" s="15"/>
      <c r="G62" s="22"/>
      <c r="H62" s="22"/>
      <c r="I62" s="7"/>
      <c r="K62" s="7"/>
      <c r="M62" s="23"/>
    </row>
    <row r="63" spans="6:13" ht="10.5" customHeight="1">
      <c r="F63" s="15"/>
      <c r="G63" s="22"/>
      <c r="H63" s="22"/>
      <c r="I63" s="7"/>
      <c r="K63" s="7"/>
      <c r="M63" s="23"/>
    </row>
    <row r="64" spans="7:13" ht="10.5" customHeight="1">
      <c r="G64" s="22"/>
      <c r="H64" s="22"/>
      <c r="M64" s="23"/>
    </row>
    <row r="65" ht="10.5" customHeight="1">
      <c r="M65" s="23"/>
    </row>
    <row r="66" spans="11:13" ht="10.5" customHeight="1">
      <c r="K66" s="7"/>
      <c r="M66" s="23"/>
    </row>
    <row r="67" ht="10.5" customHeight="1">
      <c r="M67" s="23"/>
    </row>
    <row r="68" spans="11:13" ht="10.5" customHeight="1">
      <c r="K68" s="30"/>
      <c r="M68" s="2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selection activeCell="P5" sqref="P5"/>
    </sheetView>
  </sheetViews>
  <sheetFormatPr defaultColWidth="10.421875" defaultRowHeight="12.75"/>
  <cols>
    <col min="1" max="1" width="7.8515625" style="4" customWidth="1"/>
    <col min="2" max="2" width="21.00390625" style="26" bestFit="1" customWidth="1"/>
    <col min="3" max="3" width="5.140625" style="26" bestFit="1" customWidth="1"/>
    <col min="4" max="4" width="15.421875" style="21" customWidth="1"/>
    <col min="5" max="5" width="7.57421875" style="21" bestFit="1" customWidth="1"/>
    <col min="6" max="6" width="7.421875" style="27" bestFit="1" customWidth="1"/>
    <col min="7" max="7" width="7.57421875" style="15" customWidth="1"/>
    <col min="8" max="8" width="7.140625" style="15" customWidth="1"/>
    <col min="9" max="9" width="7.7109375" style="28" bestFit="1" customWidth="1"/>
    <col min="10" max="10" width="3.00390625" style="29" customWidth="1"/>
    <col min="11" max="11" width="5.7109375" style="28" customWidth="1"/>
    <col min="12" max="12" width="6.57421875" style="22" hidden="1" customWidth="1"/>
    <col min="13" max="13" width="10.7109375" style="21" hidden="1" customWidth="1"/>
    <col min="14" max="14" width="10.00390625" style="24" bestFit="1" customWidth="1"/>
    <col min="15" max="15" width="8.00390625" style="24" customWidth="1"/>
    <col min="16" max="16" width="8.57421875" style="24" customWidth="1"/>
    <col min="17" max="16384" width="10.421875" style="21" customWidth="1"/>
  </cols>
  <sheetData>
    <row r="1" spans="1:15" s="4" customFormat="1" ht="12" customHeight="1">
      <c r="A1" s="1" t="s">
        <v>40</v>
      </c>
      <c r="B1" s="2"/>
      <c r="C1" s="2"/>
      <c r="D1" s="3"/>
      <c r="F1" s="5"/>
      <c r="I1" s="6"/>
      <c r="J1" s="7"/>
      <c r="K1" s="8"/>
      <c r="M1" s="9" t="s">
        <v>0</v>
      </c>
      <c r="O1" s="10"/>
    </row>
    <row r="2" spans="1:15" s="4" customFormat="1" ht="12" customHeight="1">
      <c r="A2" s="1"/>
      <c r="B2" s="2"/>
      <c r="C2" s="2"/>
      <c r="D2" s="3"/>
      <c r="F2" s="5"/>
      <c r="I2" s="6"/>
      <c r="J2" s="7"/>
      <c r="K2" s="8"/>
      <c r="M2" s="9"/>
      <c r="O2" s="10"/>
    </row>
    <row r="3" spans="1:17" s="4" customFormat="1" ht="56.25">
      <c r="A3" s="11" t="s">
        <v>22</v>
      </c>
      <c r="B3" s="3" t="s">
        <v>3</v>
      </c>
      <c r="C3" s="3" t="s">
        <v>2</v>
      </c>
      <c r="D3" s="10" t="s">
        <v>4</v>
      </c>
      <c r="E3" s="10" t="s">
        <v>5</v>
      </c>
      <c r="F3" s="12" t="s">
        <v>6</v>
      </c>
      <c r="G3" s="13" t="s">
        <v>7</v>
      </c>
      <c r="H3" s="13" t="s">
        <v>8</v>
      </c>
      <c r="I3" s="14" t="s">
        <v>32</v>
      </c>
      <c r="J3" s="15"/>
      <c r="K3" s="13" t="s">
        <v>20</v>
      </c>
      <c r="L3" s="13"/>
      <c r="M3" s="9"/>
      <c r="N3" s="16" t="s">
        <v>9</v>
      </c>
      <c r="O3" s="17" t="s">
        <v>10</v>
      </c>
      <c r="P3" s="16" t="s">
        <v>11</v>
      </c>
      <c r="Q3" s="18"/>
    </row>
    <row r="4" spans="1:16" s="4" customFormat="1" ht="11.25">
      <c r="A4" s="19"/>
      <c r="B4" s="3"/>
      <c r="C4" s="3"/>
      <c r="D4" s="10"/>
      <c r="E4" s="10"/>
      <c r="F4" s="12"/>
      <c r="G4" s="13"/>
      <c r="H4" s="13"/>
      <c r="I4" s="14"/>
      <c r="J4" s="15"/>
      <c r="K4" s="14"/>
      <c r="L4" s="13"/>
      <c r="M4" s="9"/>
      <c r="N4" s="16"/>
      <c r="O4" s="17"/>
      <c r="P4" s="16"/>
    </row>
    <row r="5" spans="1:17" ht="10.5" customHeight="1">
      <c r="A5" s="4" t="s">
        <v>14</v>
      </c>
      <c r="B5" s="20" t="s">
        <v>26</v>
      </c>
      <c r="C5" s="20" t="s">
        <v>29</v>
      </c>
      <c r="D5" s="21" t="s">
        <v>1</v>
      </c>
      <c r="F5" s="15">
        <f>534560+10000+5340</f>
        <v>549900</v>
      </c>
      <c r="G5" s="22">
        <f aca="true" t="shared" si="0" ref="G5:G11">F5-(F5/1.12)</f>
        <v>58917.85714285722</v>
      </c>
      <c r="H5" s="22">
        <f aca="true" t="shared" si="1" ref="H5:H10">K5*132</f>
        <v>0</v>
      </c>
      <c r="I5" s="7">
        <f aca="true" t="shared" si="2" ref="I5:I11">F5/12</f>
        <v>45825</v>
      </c>
      <c r="J5" s="7"/>
      <c r="K5" s="7">
        <v>0</v>
      </c>
      <c r="L5" s="22">
        <f aca="true" t="shared" si="3" ref="L5:L11">K5*146</f>
        <v>0</v>
      </c>
      <c r="M5" s="23">
        <f aca="true" t="shared" si="4" ref="M5:M10">(F5-L5)/12</f>
        <v>45825</v>
      </c>
      <c r="N5" s="24">
        <f aca="true" t="shared" si="5" ref="N5:N10">F5/1752</f>
        <v>313.86986301369865</v>
      </c>
      <c r="O5" s="24">
        <f aca="true" t="shared" si="6" ref="O5:O11">N5*1.65</f>
        <v>517.8852739726027</v>
      </c>
      <c r="P5" s="24">
        <f>(F5-(735*146))/1950</f>
        <v>226.96923076923076</v>
      </c>
      <c r="Q5" s="25"/>
    </row>
    <row r="6" spans="1:17" ht="10.5" customHeight="1">
      <c r="A6" s="4" t="s">
        <v>15</v>
      </c>
      <c r="F6" s="15">
        <f>547077+10000+5340</f>
        <v>562417</v>
      </c>
      <c r="G6" s="22">
        <f t="shared" si="0"/>
        <v>60258.96428571432</v>
      </c>
      <c r="H6" s="22">
        <f t="shared" si="1"/>
        <v>0</v>
      </c>
      <c r="I6" s="7">
        <f t="shared" si="2"/>
        <v>46868.083333333336</v>
      </c>
      <c r="J6" s="7"/>
      <c r="K6" s="7">
        <v>0</v>
      </c>
      <c r="L6" s="22">
        <f t="shared" si="3"/>
        <v>0</v>
      </c>
      <c r="M6" s="23">
        <f t="shared" si="4"/>
        <v>46868.083333333336</v>
      </c>
      <c r="N6" s="24">
        <f t="shared" si="5"/>
        <v>321.0142694063927</v>
      </c>
      <c r="O6" s="24">
        <f t="shared" si="6"/>
        <v>529.6735445205479</v>
      </c>
      <c r="P6" s="24">
        <f aca="true" t="shared" si="7" ref="P6:P12">(F6-(735*146))/1950</f>
        <v>233.38820512820513</v>
      </c>
      <c r="Q6" s="25"/>
    </row>
    <row r="7" spans="1:17" ht="10.5" customHeight="1">
      <c r="A7" s="4" t="s">
        <v>16</v>
      </c>
      <c r="F7" s="15">
        <f>559593+10000+5340</f>
        <v>574933</v>
      </c>
      <c r="G7" s="22">
        <f t="shared" si="0"/>
        <v>61599.96428571432</v>
      </c>
      <c r="H7" s="22">
        <f t="shared" si="1"/>
        <v>0</v>
      </c>
      <c r="I7" s="7">
        <f t="shared" si="2"/>
        <v>47911.083333333336</v>
      </c>
      <c r="J7" s="7"/>
      <c r="K7" s="7">
        <v>0</v>
      </c>
      <c r="L7" s="22">
        <f t="shared" si="3"/>
        <v>0</v>
      </c>
      <c r="M7" s="23">
        <f t="shared" si="4"/>
        <v>47911.083333333336</v>
      </c>
      <c r="N7" s="24">
        <f t="shared" si="5"/>
        <v>328.158105022831</v>
      </c>
      <c r="O7" s="24">
        <f t="shared" si="6"/>
        <v>541.4608732876711</v>
      </c>
      <c r="P7" s="24">
        <f t="shared" si="7"/>
        <v>239.80666666666667</v>
      </c>
      <c r="Q7" s="25"/>
    </row>
    <row r="8" spans="1:17" ht="10.5" customHeight="1">
      <c r="A8" s="4" t="s">
        <v>17</v>
      </c>
      <c r="B8" s="20" t="s">
        <v>35</v>
      </c>
      <c r="C8" s="20" t="s">
        <v>28</v>
      </c>
      <c r="D8" s="21" t="s">
        <v>31</v>
      </c>
      <c r="F8" s="15">
        <f>572108+10000+5340</f>
        <v>587448</v>
      </c>
      <c r="G8" s="22">
        <f t="shared" si="0"/>
        <v>62940.85714285716</v>
      </c>
      <c r="H8" s="22">
        <f t="shared" si="1"/>
        <v>0</v>
      </c>
      <c r="I8" s="7">
        <f t="shared" si="2"/>
        <v>48954</v>
      </c>
      <c r="J8" s="7"/>
      <c r="K8" s="7">
        <v>0</v>
      </c>
      <c r="L8" s="22">
        <f t="shared" si="3"/>
        <v>0</v>
      </c>
      <c r="M8" s="23">
        <f t="shared" si="4"/>
        <v>48954</v>
      </c>
      <c r="N8" s="24">
        <f t="shared" si="5"/>
        <v>335.3013698630137</v>
      </c>
      <c r="O8" s="24">
        <f t="shared" si="6"/>
        <v>553.2472602739725</v>
      </c>
      <c r="P8" s="24">
        <f t="shared" si="7"/>
        <v>246.2246153846154</v>
      </c>
      <c r="Q8" s="25"/>
    </row>
    <row r="9" spans="1:17" ht="10.5" customHeight="1">
      <c r="A9" s="4" t="s">
        <v>18</v>
      </c>
      <c r="F9" s="15">
        <f>584625+10000+5340</f>
        <v>599965</v>
      </c>
      <c r="G9" s="22">
        <f t="shared" si="0"/>
        <v>64281.96428571432</v>
      </c>
      <c r="H9" s="22">
        <f t="shared" si="1"/>
        <v>0</v>
      </c>
      <c r="I9" s="7">
        <f t="shared" si="2"/>
        <v>49997.083333333336</v>
      </c>
      <c r="J9" s="7"/>
      <c r="K9" s="7">
        <v>0</v>
      </c>
      <c r="L9" s="22">
        <f t="shared" si="3"/>
        <v>0</v>
      </c>
      <c r="M9" s="23">
        <f t="shared" si="4"/>
        <v>49997.083333333336</v>
      </c>
      <c r="N9" s="24">
        <f t="shared" si="5"/>
        <v>342.44577625570776</v>
      </c>
      <c r="O9" s="24">
        <f t="shared" si="6"/>
        <v>565.0355308219177</v>
      </c>
      <c r="P9" s="24">
        <f t="shared" si="7"/>
        <v>252.64358974358976</v>
      </c>
      <c r="Q9" s="25"/>
    </row>
    <row r="10" spans="1:17" ht="10.5" customHeight="1">
      <c r="A10" s="4" t="s">
        <v>19</v>
      </c>
      <c r="F10" s="15">
        <f>601031+10000+5340</f>
        <v>616371</v>
      </c>
      <c r="G10" s="22">
        <f t="shared" si="0"/>
        <v>66039.75</v>
      </c>
      <c r="H10" s="22">
        <f t="shared" si="1"/>
        <v>0</v>
      </c>
      <c r="I10" s="7">
        <f t="shared" si="2"/>
        <v>51364.25</v>
      </c>
      <c r="J10" s="7"/>
      <c r="K10" s="7">
        <v>0</v>
      </c>
      <c r="L10" s="22">
        <f t="shared" si="3"/>
        <v>0</v>
      </c>
      <c r="M10" s="23">
        <f t="shared" si="4"/>
        <v>51364.25</v>
      </c>
      <c r="N10" s="24">
        <f t="shared" si="5"/>
        <v>351.8099315068493</v>
      </c>
      <c r="O10" s="24">
        <f t="shared" si="6"/>
        <v>580.4863869863013</v>
      </c>
      <c r="P10" s="24">
        <f t="shared" si="7"/>
        <v>261.05692307692306</v>
      </c>
      <c r="Q10" s="25"/>
    </row>
    <row r="11" spans="1:17" ht="10.5" customHeight="1">
      <c r="A11" s="4" t="s">
        <v>23</v>
      </c>
      <c r="F11" s="15">
        <f>616879+10000+5340</f>
        <v>632219</v>
      </c>
      <c r="G11" s="22">
        <f t="shared" si="0"/>
        <v>67737.75</v>
      </c>
      <c r="H11" s="22">
        <f>K11*132</f>
        <v>0</v>
      </c>
      <c r="I11" s="7">
        <f t="shared" si="2"/>
        <v>52684.916666666664</v>
      </c>
      <c r="J11" s="7"/>
      <c r="K11" s="7">
        <v>0</v>
      </c>
      <c r="L11" s="22">
        <f t="shared" si="3"/>
        <v>0</v>
      </c>
      <c r="M11" s="23">
        <f>(F11-L11)/12</f>
        <v>52684.916666666664</v>
      </c>
      <c r="N11" s="24">
        <f>F11/1752</f>
        <v>360.85559360730593</v>
      </c>
      <c r="O11" s="24">
        <f t="shared" si="6"/>
        <v>595.4117294520547</v>
      </c>
      <c r="P11" s="24">
        <f t="shared" si="7"/>
        <v>269.18410256410255</v>
      </c>
      <c r="Q11" s="25"/>
    </row>
    <row r="12" spans="1:17" ht="10.5" customHeight="1">
      <c r="A12" s="4" t="s">
        <v>37</v>
      </c>
      <c r="F12" s="15">
        <f>629379+10000+6340</f>
        <v>645719</v>
      </c>
      <c r="G12" s="22">
        <f>F12-(F12/1.12)</f>
        <v>69184.17857142864</v>
      </c>
      <c r="H12" s="22">
        <f>K12*132</f>
        <v>0</v>
      </c>
      <c r="I12" s="7">
        <f>F12/12</f>
        <v>53809.916666666664</v>
      </c>
      <c r="J12" s="7"/>
      <c r="K12" s="7">
        <v>0</v>
      </c>
      <c r="L12" s="22">
        <f>K12*146</f>
        <v>0</v>
      </c>
      <c r="M12" s="23">
        <f>(F12-L12)/12</f>
        <v>53809.916666666664</v>
      </c>
      <c r="N12" s="24">
        <f>F12/1752</f>
        <v>368.56107305936075</v>
      </c>
      <c r="O12" s="24">
        <f>N12*1.65</f>
        <v>608.1257705479452</v>
      </c>
      <c r="P12" s="24">
        <f t="shared" si="7"/>
        <v>276.1071794871795</v>
      </c>
      <c r="Q12" s="25"/>
    </row>
    <row r="13" spans="11:13" ht="10.5" customHeight="1">
      <c r="K13" s="7">
        <v>0</v>
      </c>
      <c r="M13" s="23"/>
    </row>
    <row r="14" ht="10.5" customHeight="1">
      <c r="M14" s="23"/>
    </row>
    <row r="15" ht="10.5" customHeight="1">
      <c r="M15" s="23"/>
    </row>
    <row r="16" ht="10.5" customHeight="1">
      <c r="M16" s="23"/>
    </row>
    <row r="17" ht="10.5" customHeight="1">
      <c r="M17" s="23"/>
    </row>
    <row r="18" ht="10.5" customHeight="1">
      <c r="M18" s="23"/>
    </row>
    <row r="19" ht="10.5" customHeight="1">
      <c r="M19" s="23"/>
    </row>
    <row r="20" ht="10.5" customHeight="1">
      <c r="M20" s="23"/>
    </row>
    <row r="21" ht="10.5" customHeight="1">
      <c r="M21" s="23"/>
    </row>
    <row r="22" ht="10.5" customHeight="1">
      <c r="M22" s="23"/>
    </row>
    <row r="23" ht="10.5" customHeight="1">
      <c r="M23" s="23"/>
    </row>
    <row r="24" spans="11:13" ht="10.5" customHeight="1">
      <c r="K24" s="30"/>
      <c r="M24" s="23"/>
    </row>
    <row r="25" ht="12" customHeight="1"/>
    <row r="26" spans="1:15" s="4" customFormat="1" ht="12" customHeight="1">
      <c r="A26" s="1"/>
      <c r="B26" s="2"/>
      <c r="C26" s="2"/>
      <c r="D26" s="3"/>
      <c r="F26" s="5"/>
      <c r="I26" s="6"/>
      <c r="J26" s="7"/>
      <c r="K26" s="8"/>
      <c r="M26" s="9"/>
      <c r="O26" s="10"/>
    </row>
    <row r="27" spans="1:15" s="4" customFormat="1" ht="12" customHeight="1">
      <c r="A27" s="1"/>
      <c r="B27" s="2"/>
      <c r="C27" s="2"/>
      <c r="D27" s="3"/>
      <c r="F27" s="5"/>
      <c r="I27" s="6"/>
      <c r="J27" s="7"/>
      <c r="K27" s="8"/>
      <c r="M27" s="9"/>
      <c r="O27" s="10"/>
    </row>
    <row r="28" spans="1:13" ht="10.5" customHeight="1">
      <c r="A28" s="9"/>
      <c r="D28" s="26"/>
      <c r="F28" s="15"/>
      <c r="G28" s="22"/>
      <c r="H28" s="22"/>
      <c r="I28" s="7"/>
      <c r="J28" s="7"/>
      <c r="K28" s="7"/>
      <c r="M28" s="23"/>
    </row>
    <row r="29" spans="1:13" ht="10.5" customHeight="1">
      <c r="A29" s="9"/>
      <c r="D29" s="26"/>
      <c r="F29" s="15"/>
      <c r="G29" s="22"/>
      <c r="H29" s="22"/>
      <c r="I29" s="7"/>
      <c r="J29" s="7"/>
      <c r="K29" s="7"/>
      <c r="M29" s="23"/>
    </row>
    <row r="30" spans="1:13" ht="10.5" customHeight="1">
      <c r="A30" s="9"/>
      <c r="F30" s="15"/>
      <c r="G30" s="22"/>
      <c r="H30" s="22"/>
      <c r="I30" s="7"/>
      <c r="J30" s="7"/>
      <c r="K30" s="7"/>
      <c r="M30" s="23"/>
    </row>
    <row r="31" spans="1:13" ht="10.5" customHeight="1">
      <c r="A31" s="9"/>
      <c r="F31" s="15"/>
      <c r="G31" s="22"/>
      <c r="H31" s="22"/>
      <c r="I31" s="7"/>
      <c r="J31" s="7"/>
      <c r="K31" s="7"/>
      <c r="M31" s="23"/>
    </row>
    <row r="32" spans="1:13" ht="10.5" customHeight="1">
      <c r="A32" s="9"/>
      <c r="F32" s="15"/>
      <c r="G32" s="22"/>
      <c r="H32" s="22"/>
      <c r="I32" s="7"/>
      <c r="J32" s="7"/>
      <c r="K32" s="7"/>
      <c r="M32" s="23"/>
    </row>
    <row r="33" spans="1:13" ht="10.5" customHeight="1">
      <c r="A33" s="9"/>
      <c r="F33" s="15"/>
      <c r="G33" s="22"/>
      <c r="H33" s="22"/>
      <c r="I33" s="7"/>
      <c r="J33" s="7"/>
      <c r="K33" s="7"/>
      <c r="M33" s="23"/>
    </row>
    <row r="34" spans="1:13" ht="10.5" customHeight="1">
      <c r="A34" s="9"/>
      <c r="F34" s="15"/>
      <c r="G34" s="22"/>
      <c r="H34" s="22"/>
      <c r="I34" s="7"/>
      <c r="J34" s="7"/>
      <c r="K34" s="7"/>
      <c r="M34" s="23"/>
    </row>
    <row r="35" spans="1:13" ht="10.5" customHeight="1">
      <c r="A35" s="9"/>
      <c r="F35" s="15"/>
      <c r="G35" s="22"/>
      <c r="H35" s="22"/>
      <c r="I35" s="7"/>
      <c r="J35" s="7"/>
      <c r="K35" s="7"/>
      <c r="M35" s="23"/>
    </row>
    <row r="36" spans="1:13" ht="10.5" customHeight="1">
      <c r="A36" s="9"/>
      <c r="F36" s="15"/>
      <c r="G36" s="22"/>
      <c r="H36" s="22"/>
      <c r="I36" s="7"/>
      <c r="J36" s="7"/>
      <c r="K36" s="7"/>
      <c r="M36" s="23"/>
    </row>
    <row r="37" spans="1:13" ht="10.5" customHeight="1">
      <c r="A37" s="9"/>
      <c r="F37" s="15"/>
      <c r="G37" s="22"/>
      <c r="H37" s="22"/>
      <c r="I37" s="7"/>
      <c r="J37" s="7"/>
      <c r="K37" s="7"/>
      <c r="M37" s="23"/>
    </row>
    <row r="38" spans="1:13" ht="10.5" customHeight="1">
      <c r="A38" s="9"/>
      <c r="F38" s="15"/>
      <c r="G38" s="22"/>
      <c r="H38" s="22"/>
      <c r="I38" s="7"/>
      <c r="J38" s="7"/>
      <c r="K38" s="7"/>
      <c r="M38" s="23"/>
    </row>
    <row r="39" spans="1:15" ht="10.5" customHeight="1">
      <c r="A39" s="9"/>
      <c r="F39" s="4"/>
      <c r="G39" s="22"/>
      <c r="H39" s="22"/>
      <c r="I39" s="7"/>
      <c r="J39" s="31"/>
      <c r="K39" s="31"/>
      <c r="L39" s="32"/>
      <c r="M39" s="33"/>
      <c r="N39" s="34"/>
      <c r="O39" s="35"/>
    </row>
    <row r="40" spans="1:13" ht="10.5" customHeight="1">
      <c r="A40" s="36"/>
      <c r="F40" s="15"/>
      <c r="G40" s="22"/>
      <c r="H40" s="22"/>
      <c r="I40" s="7"/>
      <c r="J40" s="7"/>
      <c r="K40" s="7"/>
      <c r="M40" s="23"/>
    </row>
    <row r="41" spans="1:13" ht="10.5" customHeight="1">
      <c r="A41" s="36"/>
      <c r="F41" s="15"/>
      <c r="G41" s="22"/>
      <c r="H41" s="22"/>
      <c r="I41" s="7"/>
      <c r="J41" s="7"/>
      <c r="K41" s="7"/>
      <c r="M41" s="23"/>
    </row>
    <row r="42" spans="1:13" ht="10.5" customHeight="1">
      <c r="A42" s="36"/>
      <c r="F42" s="15"/>
      <c r="G42" s="22"/>
      <c r="H42" s="22"/>
      <c r="I42" s="7"/>
      <c r="J42" s="7"/>
      <c r="K42" s="7"/>
      <c r="M42" s="23"/>
    </row>
    <row r="43" spans="1:13" ht="10.5" customHeight="1">
      <c r="A43" s="36"/>
      <c r="F43" s="15"/>
      <c r="G43" s="22"/>
      <c r="H43" s="22"/>
      <c r="I43" s="7"/>
      <c r="J43" s="7"/>
      <c r="K43" s="7"/>
      <c r="M43" s="23"/>
    </row>
    <row r="44" spans="6:13" ht="10.5" customHeight="1">
      <c r="F44" s="15"/>
      <c r="G44" s="22"/>
      <c r="H44" s="22"/>
      <c r="I44" s="7"/>
      <c r="J44" s="7"/>
      <c r="K44" s="7"/>
      <c r="M44" s="23"/>
    </row>
    <row r="45" spans="6:13" ht="10.5" customHeight="1">
      <c r="F45" s="15"/>
      <c r="G45" s="22"/>
      <c r="H45" s="22"/>
      <c r="I45" s="7"/>
      <c r="J45" s="7"/>
      <c r="K45" s="7"/>
      <c r="M45" s="23"/>
    </row>
    <row r="46" spans="6:13" ht="10.5" customHeight="1">
      <c r="F46" s="15"/>
      <c r="G46" s="22"/>
      <c r="H46" s="22"/>
      <c r="I46" s="7"/>
      <c r="J46" s="7"/>
      <c r="K46" s="7"/>
      <c r="M46" s="23"/>
    </row>
    <row r="47" spans="6:13" ht="10.5" customHeight="1">
      <c r="F47" s="15"/>
      <c r="G47" s="22"/>
      <c r="H47" s="22"/>
      <c r="I47" s="7"/>
      <c r="J47" s="7"/>
      <c r="K47" s="7"/>
      <c r="M47" s="23"/>
    </row>
    <row r="48" spans="6:13" ht="10.5" customHeight="1">
      <c r="F48" s="15"/>
      <c r="G48" s="22"/>
      <c r="H48" s="22"/>
      <c r="I48" s="7"/>
      <c r="J48" s="7"/>
      <c r="K48" s="7"/>
      <c r="M48" s="23"/>
    </row>
    <row r="49" spans="6:13" ht="10.5" customHeight="1">
      <c r="F49" s="15"/>
      <c r="G49" s="22"/>
      <c r="H49" s="22"/>
      <c r="I49" s="7"/>
      <c r="J49" s="7"/>
      <c r="K49" s="7"/>
      <c r="M49" s="23"/>
    </row>
    <row r="50" spans="6:13" ht="10.5" customHeight="1">
      <c r="F50" s="15"/>
      <c r="G50" s="22"/>
      <c r="H50" s="22"/>
      <c r="I50" s="7"/>
      <c r="J50" s="7"/>
      <c r="K50" s="7"/>
      <c r="M50" s="23"/>
    </row>
    <row r="51" spans="6:13" ht="10.5" customHeight="1">
      <c r="F51" s="15"/>
      <c r="G51" s="22"/>
      <c r="H51" s="22"/>
      <c r="I51" s="7"/>
      <c r="J51" s="7"/>
      <c r="K51" s="7"/>
      <c r="M51" s="23"/>
    </row>
    <row r="52" spans="2:13" ht="10.5" customHeight="1">
      <c r="B52" s="20"/>
      <c r="C52" s="20"/>
      <c r="F52" s="15"/>
      <c r="G52" s="22"/>
      <c r="H52" s="22"/>
      <c r="I52" s="7"/>
      <c r="K52" s="7"/>
      <c r="M52" s="23"/>
    </row>
    <row r="53" spans="2:13" ht="10.5" customHeight="1">
      <c r="B53" s="20"/>
      <c r="C53" s="20"/>
      <c r="F53" s="15"/>
      <c r="G53" s="22"/>
      <c r="H53" s="22"/>
      <c r="I53" s="7"/>
      <c r="K53" s="7"/>
      <c r="M53" s="23"/>
    </row>
    <row r="54" spans="2:13" ht="10.5" customHeight="1">
      <c r="B54" s="20"/>
      <c r="C54" s="20"/>
      <c r="F54" s="15"/>
      <c r="G54" s="22"/>
      <c r="H54" s="22"/>
      <c r="I54" s="7"/>
      <c r="K54" s="7"/>
      <c r="M54" s="23"/>
    </row>
    <row r="55" spans="6:13" ht="10.5" customHeight="1">
      <c r="F55" s="15"/>
      <c r="G55" s="22"/>
      <c r="H55" s="22"/>
      <c r="I55" s="7"/>
      <c r="K55" s="7"/>
      <c r="M55" s="23"/>
    </row>
    <row r="56" spans="6:13" ht="10.5" customHeight="1">
      <c r="F56" s="15"/>
      <c r="G56" s="22"/>
      <c r="H56" s="22"/>
      <c r="I56" s="7"/>
      <c r="K56" s="7"/>
      <c r="M56" s="23"/>
    </row>
    <row r="57" spans="6:13" ht="10.5" customHeight="1">
      <c r="F57" s="15"/>
      <c r="G57" s="22"/>
      <c r="H57" s="22"/>
      <c r="I57" s="7"/>
      <c r="K57" s="7"/>
      <c r="M57" s="23"/>
    </row>
    <row r="58" spans="6:13" ht="10.5" customHeight="1">
      <c r="F58" s="15"/>
      <c r="G58" s="22"/>
      <c r="H58" s="22"/>
      <c r="I58" s="7"/>
      <c r="K58" s="7"/>
      <c r="M58" s="23"/>
    </row>
    <row r="59" spans="6:13" ht="10.5" customHeight="1">
      <c r="F59" s="15"/>
      <c r="G59" s="22"/>
      <c r="H59" s="22"/>
      <c r="I59" s="7"/>
      <c r="K59" s="7"/>
      <c r="M59" s="23"/>
    </row>
    <row r="60" spans="6:13" ht="10.5" customHeight="1">
      <c r="F60" s="15"/>
      <c r="G60" s="22"/>
      <c r="H60" s="22"/>
      <c r="I60" s="7"/>
      <c r="K60" s="7"/>
      <c r="M60" s="23"/>
    </row>
    <row r="61" spans="6:13" ht="10.5" customHeight="1">
      <c r="F61" s="15"/>
      <c r="G61" s="22"/>
      <c r="H61" s="22"/>
      <c r="I61" s="7"/>
      <c r="K61" s="7"/>
      <c r="M61" s="23"/>
    </row>
    <row r="62" spans="6:13" ht="10.5" customHeight="1">
      <c r="F62" s="15"/>
      <c r="G62" s="22"/>
      <c r="H62" s="22"/>
      <c r="I62" s="7"/>
      <c r="K62" s="7"/>
      <c r="M62" s="23"/>
    </row>
    <row r="63" spans="7:13" ht="10.5" customHeight="1">
      <c r="G63" s="22"/>
      <c r="H63" s="22"/>
      <c r="M63" s="23"/>
    </row>
    <row r="64" ht="10.5" customHeight="1">
      <c r="M64" s="23"/>
    </row>
    <row r="65" spans="11:13" ht="10.5" customHeight="1">
      <c r="K65" s="7"/>
      <c r="M65" s="23"/>
    </row>
    <row r="66" ht="10.5" customHeight="1">
      <c r="M66" s="23"/>
    </row>
    <row r="67" spans="11:13" ht="10.5" customHeight="1">
      <c r="K67" s="30"/>
      <c r="M67" s="23"/>
    </row>
  </sheetData>
  <sheetProtection/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11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selection activeCell="P6" sqref="P6:P12"/>
    </sheetView>
  </sheetViews>
  <sheetFormatPr defaultColWidth="10.421875" defaultRowHeight="12.75"/>
  <cols>
    <col min="1" max="1" width="7.8515625" style="4" customWidth="1"/>
    <col min="2" max="2" width="21.00390625" style="26" bestFit="1" customWidth="1"/>
    <col min="3" max="3" width="5.140625" style="26" bestFit="1" customWidth="1"/>
    <col min="4" max="4" width="15.421875" style="21" customWidth="1"/>
    <col min="5" max="5" width="7.57421875" style="21" bestFit="1" customWidth="1"/>
    <col min="6" max="6" width="7.421875" style="27" bestFit="1" customWidth="1"/>
    <col min="7" max="7" width="7.57421875" style="15" customWidth="1"/>
    <col min="8" max="8" width="7.140625" style="15" customWidth="1"/>
    <col min="9" max="9" width="7.7109375" style="28" bestFit="1" customWidth="1"/>
    <col min="10" max="10" width="3.00390625" style="29" customWidth="1"/>
    <col min="11" max="11" width="5.7109375" style="28" customWidth="1"/>
    <col min="12" max="12" width="6.57421875" style="22" hidden="1" customWidth="1"/>
    <col min="13" max="13" width="10.7109375" style="21" hidden="1" customWidth="1"/>
    <col min="14" max="14" width="10.00390625" style="24" bestFit="1" customWidth="1"/>
    <col min="15" max="15" width="8.00390625" style="24" customWidth="1"/>
    <col min="16" max="16" width="8.57421875" style="24" customWidth="1"/>
    <col min="17" max="16384" width="10.421875" style="21" customWidth="1"/>
  </cols>
  <sheetData>
    <row r="1" spans="1:15" s="4" customFormat="1" ht="12" customHeight="1">
      <c r="A1" s="1" t="s">
        <v>41</v>
      </c>
      <c r="B1" s="2"/>
      <c r="C1" s="2"/>
      <c r="D1" s="3"/>
      <c r="F1" s="5"/>
      <c r="I1" s="6"/>
      <c r="J1" s="7"/>
      <c r="K1" s="8"/>
      <c r="M1" s="9" t="s">
        <v>0</v>
      </c>
      <c r="O1" s="10"/>
    </row>
    <row r="2" spans="1:15" s="4" customFormat="1" ht="12" customHeight="1">
      <c r="A2" s="1"/>
      <c r="B2" s="2"/>
      <c r="C2" s="2"/>
      <c r="D2" s="3"/>
      <c r="F2" s="5"/>
      <c r="I2" s="6"/>
      <c r="J2" s="7"/>
      <c r="K2" s="8"/>
      <c r="M2" s="9"/>
      <c r="O2" s="10"/>
    </row>
    <row r="3" spans="1:17" s="4" customFormat="1" ht="56.25">
      <c r="A3" s="11" t="s">
        <v>22</v>
      </c>
      <c r="B3" s="3" t="s">
        <v>3</v>
      </c>
      <c r="C3" s="3" t="s">
        <v>2</v>
      </c>
      <c r="D3" s="10" t="s">
        <v>4</v>
      </c>
      <c r="E3" s="10" t="s">
        <v>5</v>
      </c>
      <c r="F3" s="12" t="s">
        <v>6</v>
      </c>
      <c r="G3" s="13" t="s">
        <v>7</v>
      </c>
      <c r="H3" s="13" t="s">
        <v>8</v>
      </c>
      <c r="I3" s="14" t="s">
        <v>32</v>
      </c>
      <c r="J3" s="15"/>
      <c r="K3" s="13" t="s">
        <v>20</v>
      </c>
      <c r="L3" s="13"/>
      <c r="M3" s="9"/>
      <c r="N3" s="16" t="s">
        <v>9</v>
      </c>
      <c r="O3" s="17" t="s">
        <v>10</v>
      </c>
      <c r="P3" s="16" t="s">
        <v>11</v>
      </c>
      <c r="Q3" s="18"/>
    </row>
    <row r="4" spans="1:16" s="4" customFormat="1" ht="11.25">
      <c r="A4" s="19"/>
      <c r="B4" s="3"/>
      <c r="C4" s="3"/>
      <c r="D4" s="10"/>
      <c r="E4" s="10"/>
      <c r="F4" s="12"/>
      <c r="G4" s="13"/>
      <c r="H4" s="13"/>
      <c r="I4" s="14"/>
      <c r="J4" s="15"/>
      <c r="K4" s="14"/>
      <c r="L4" s="13"/>
      <c r="M4" s="9"/>
      <c r="N4" s="16"/>
      <c r="O4" s="17"/>
      <c r="P4" s="16"/>
    </row>
    <row r="5" spans="1:17" ht="10.5" customHeight="1">
      <c r="A5" s="4" t="s">
        <v>14</v>
      </c>
      <c r="B5" s="20" t="s">
        <v>26</v>
      </c>
      <c r="C5" s="20" t="s">
        <v>29</v>
      </c>
      <c r="D5" s="21" t="s">
        <v>1</v>
      </c>
      <c r="F5" s="15">
        <f>534560+10000+5340+12000</f>
        <v>561900</v>
      </c>
      <c r="G5" s="22">
        <f aca="true" t="shared" si="0" ref="G5:G11">F5-(F5/1.12)</f>
        <v>60203.57142857148</v>
      </c>
      <c r="H5" s="22">
        <f aca="true" t="shared" si="1" ref="H5:H10">K5*132</f>
        <v>0</v>
      </c>
      <c r="I5" s="7">
        <f aca="true" t="shared" si="2" ref="I5:I11">F5/12</f>
        <v>46825</v>
      </c>
      <c r="J5" s="7"/>
      <c r="K5" s="7">
        <v>0</v>
      </c>
      <c r="L5" s="22">
        <f aca="true" t="shared" si="3" ref="L5:L11">K5*146</f>
        <v>0</v>
      </c>
      <c r="M5" s="23">
        <f aca="true" t="shared" si="4" ref="M5:M10">(F5-L5)/12</f>
        <v>46825</v>
      </c>
      <c r="N5" s="24">
        <f aca="true" t="shared" si="5" ref="N5:N10">F5/1752</f>
        <v>320.7191780821918</v>
      </c>
      <c r="O5" s="24">
        <f aca="true" t="shared" si="6" ref="O5:O11">N5*1.65</f>
        <v>529.1866438356165</v>
      </c>
      <c r="P5" s="24">
        <f>(F5-(775*146))/1950</f>
        <v>230.12820512820514</v>
      </c>
      <c r="Q5" s="25"/>
    </row>
    <row r="6" spans="1:17" ht="10.5" customHeight="1">
      <c r="A6" s="4" t="s">
        <v>15</v>
      </c>
      <c r="F6" s="15">
        <f>547077+10000+5340+12000</f>
        <v>574417</v>
      </c>
      <c r="G6" s="22">
        <f t="shared" si="0"/>
        <v>61544.67857142864</v>
      </c>
      <c r="H6" s="22">
        <f t="shared" si="1"/>
        <v>0</v>
      </c>
      <c r="I6" s="7">
        <f t="shared" si="2"/>
        <v>47868.083333333336</v>
      </c>
      <c r="J6" s="7"/>
      <c r="K6" s="7">
        <v>0</v>
      </c>
      <c r="L6" s="22">
        <f t="shared" si="3"/>
        <v>0</v>
      </c>
      <c r="M6" s="23">
        <f t="shared" si="4"/>
        <v>47868.083333333336</v>
      </c>
      <c r="N6" s="24">
        <f t="shared" si="5"/>
        <v>327.86358447488584</v>
      </c>
      <c r="O6" s="24">
        <f t="shared" si="6"/>
        <v>540.9749143835616</v>
      </c>
      <c r="P6" s="24">
        <f aca="true" t="shared" si="7" ref="P6:P12">(F6-(775*146))/1950</f>
        <v>236.54717948717948</v>
      </c>
      <c r="Q6" s="25"/>
    </row>
    <row r="7" spans="1:17" ht="10.5" customHeight="1">
      <c r="A7" s="4" t="s">
        <v>16</v>
      </c>
      <c r="F7" s="15">
        <f>559593+10000+5340+12000</f>
        <v>586933</v>
      </c>
      <c r="G7" s="22">
        <f t="shared" si="0"/>
        <v>62885.67857142864</v>
      </c>
      <c r="H7" s="22">
        <f t="shared" si="1"/>
        <v>0</v>
      </c>
      <c r="I7" s="7">
        <f t="shared" si="2"/>
        <v>48911.083333333336</v>
      </c>
      <c r="J7" s="7"/>
      <c r="K7" s="7">
        <v>0</v>
      </c>
      <c r="L7" s="22">
        <f t="shared" si="3"/>
        <v>0</v>
      </c>
      <c r="M7" s="23">
        <f t="shared" si="4"/>
        <v>48911.083333333336</v>
      </c>
      <c r="N7" s="24">
        <f t="shared" si="5"/>
        <v>335.0074200913242</v>
      </c>
      <c r="O7" s="24">
        <f t="shared" si="6"/>
        <v>552.7622431506849</v>
      </c>
      <c r="P7" s="24">
        <f t="shared" si="7"/>
        <v>242.96564102564102</v>
      </c>
      <c r="Q7" s="25"/>
    </row>
    <row r="8" spans="1:17" ht="10.5" customHeight="1">
      <c r="A8" s="4" t="s">
        <v>17</v>
      </c>
      <c r="B8" s="20" t="s">
        <v>35</v>
      </c>
      <c r="C8" s="20" t="s">
        <v>28</v>
      </c>
      <c r="D8" s="21" t="s">
        <v>31</v>
      </c>
      <c r="F8" s="15">
        <f>572108+10000+5340+12000</f>
        <v>599448</v>
      </c>
      <c r="G8" s="22">
        <f t="shared" si="0"/>
        <v>64226.57142857148</v>
      </c>
      <c r="H8" s="22">
        <f t="shared" si="1"/>
        <v>0</v>
      </c>
      <c r="I8" s="7">
        <f t="shared" si="2"/>
        <v>49954</v>
      </c>
      <c r="J8" s="7"/>
      <c r="K8" s="7">
        <v>0</v>
      </c>
      <c r="L8" s="22">
        <f t="shared" si="3"/>
        <v>0</v>
      </c>
      <c r="M8" s="23">
        <f t="shared" si="4"/>
        <v>49954</v>
      </c>
      <c r="N8" s="24">
        <f t="shared" si="5"/>
        <v>342.1506849315069</v>
      </c>
      <c r="O8" s="24">
        <f t="shared" si="6"/>
        <v>564.5486301369863</v>
      </c>
      <c r="P8" s="24">
        <f t="shared" si="7"/>
        <v>249.38358974358974</v>
      </c>
      <c r="Q8" s="25"/>
    </row>
    <row r="9" spans="1:17" ht="10.5" customHeight="1">
      <c r="A9" s="4" t="s">
        <v>18</v>
      </c>
      <c r="F9" s="15">
        <f>584625+10000+5340+12000</f>
        <v>611965</v>
      </c>
      <c r="G9" s="22">
        <f t="shared" si="0"/>
        <v>65567.67857142864</v>
      </c>
      <c r="H9" s="22">
        <f t="shared" si="1"/>
        <v>0</v>
      </c>
      <c r="I9" s="7">
        <f t="shared" si="2"/>
        <v>50997.083333333336</v>
      </c>
      <c r="J9" s="7"/>
      <c r="K9" s="7">
        <v>0</v>
      </c>
      <c r="L9" s="22">
        <f t="shared" si="3"/>
        <v>0</v>
      </c>
      <c r="M9" s="23">
        <f t="shared" si="4"/>
        <v>50997.083333333336</v>
      </c>
      <c r="N9" s="24">
        <f t="shared" si="5"/>
        <v>349.29509132420094</v>
      </c>
      <c r="O9" s="24">
        <f t="shared" si="6"/>
        <v>576.3369006849315</v>
      </c>
      <c r="P9" s="24">
        <f t="shared" si="7"/>
        <v>255.8025641025641</v>
      </c>
      <c r="Q9" s="25"/>
    </row>
    <row r="10" spans="1:17" ht="10.5" customHeight="1">
      <c r="A10" s="4" t="s">
        <v>19</v>
      </c>
      <c r="F10" s="15">
        <f>601031+10000+5340+12000</f>
        <v>628371</v>
      </c>
      <c r="G10" s="22">
        <f t="shared" si="0"/>
        <v>67325.46428571432</v>
      </c>
      <c r="H10" s="22">
        <f t="shared" si="1"/>
        <v>0</v>
      </c>
      <c r="I10" s="7">
        <f t="shared" si="2"/>
        <v>52364.25</v>
      </c>
      <c r="J10" s="7"/>
      <c r="K10" s="7">
        <v>0</v>
      </c>
      <c r="L10" s="22">
        <f t="shared" si="3"/>
        <v>0</v>
      </c>
      <c r="M10" s="23">
        <f t="shared" si="4"/>
        <v>52364.25</v>
      </c>
      <c r="N10" s="24">
        <f t="shared" si="5"/>
        <v>358.6592465753425</v>
      </c>
      <c r="O10" s="24">
        <f t="shared" si="6"/>
        <v>591.7877568493151</v>
      </c>
      <c r="P10" s="24">
        <f t="shared" si="7"/>
        <v>264.21589743589743</v>
      </c>
      <c r="Q10" s="25"/>
    </row>
    <row r="11" spans="1:17" ht="10.5" customHeight="1">
      <c r="A11" s="4" t="s">
        <v>23</v>
      </c>
      <c r="F11" s="15">
        <f>616879+10000+5340+12000</f>
        <v>644219</v>
      </c>
      <c r="G11" s="22">
        <f t="shared" si="0"/>
        <v>69023.46428571432</v>
      </c>
      <c r="H11" s="22">
        <f>K11*132</f>
        <v>0</v>
      </c>
      <c r="I11" s="7">
        <f t="shared" si="2"/>
        <v>53684.916666666664</v>
      </c>
      <c r="J11" s="7"/>
      <c r="K11" s="7">
        <v>0</v>
      </c>
      <c r="L11" s="22">
        <f t="shared" si="3"/>
        <v>0</v>
      </c>
      <c r="M11" s="23">
        <f>(F11-L11)/12</f>
        <v>53684.916666666664</v>
      </c>
      <c r="N11" s="24">
        <f>F11/1752</f>
        <v>367.70490867579906</v>
      </c>
      <c r="O11" s="24">
        <f t="shared" si="6"/>
        <v>606.7130993150685</v>
      </c>
      <c r="P11" s="24">
        <f t="shared" si="7"/>
        <v>272.3430769230769</v>
      </c>
      <c r="Q11" s="25"/>
    </row>
    <row r="12" spans="1:17" ht="10.5" customHeight="1">
      <c r="A12" s="4" t="s">
        <v>37</v>
      </c>
      <c r="F12" s="15">
        <f>629379+10000+6340+12000</f>
        <v>657719</v>
      </c>
      <c r="G12" s="22">
        <f>F12-(F12/1.12)</f>
        <v>70469.89285714296</v>
      </c>
      <c r="H12" s="22">
        <f>K12*132</f>
        <v>0</v>
      </c>
      <c r="I12" s="7">
        <f>F12/12</f>
        <v>54809.916666666664</v>
      </c>
      <c r="J12" s="7"/>
      <c r="K12" s="7">
        <v>0</v>
      </c>
      <c r="L12" s="22">
        <f>K12*146</f>
        <v>0</v>
      </c>
      <c r="M12" s="23">
        <f>(F12-L12)/12</f>
        <v>54809.916666666664</v>
      </c>
      <c r="N12" s="24">
        <f>F12/1752</f>
        <v>375.4103881278539</v>
      </c>
      <c r="O12" s="24">
        <f>N12*1.65</f>
        <v>619.4271404109588</v>
      </c>
      <c r="P12" s="24">
        <f t="shared" si="7"/>
        <v>279.2661538461538</v>
      </c>
      <c r="Q12" s="25"/>
    </row>
    <row r="13" spans="11:13" ht="10.5" customHeight="1">
      <c r="K13" s="7">
        <v>0</v>
      </c>
      <c r="M13" s="23"/>
    </row>
    <row r="14" ht="10.5" customHeight="1">
      <c r="M14" s="23"/>
    </row>
    <row r="15" ht="10.5" customHeight="1">
      <c r="M15" s="23"/>
    </row>
    <row r="16" ht="10.5" customHeight="1">
      <c r="M16" s="23"/>
    </row>
    <row r="17" ht="10.5" customHeight="1">
      <c r="M17" s="23"/>
    </row>
    <row r="18" ht="10.5" customHeight="1">
      <c r="M18" s="23"/>
    </row>
    <row r="19" ht="10.5" customHeight="1">
      <c r="M19" s="23"/>
    </row>
    <row r="20" ht="10.5" customHeight="1">
      <c r="M20" s="23"/>
    </row>
    <row r="21" ht="10.5" customHeight="1">
      <c r="M21" s="23"/>
    </row>
    <row r="22" ht="10.5" customHeight="1">
      <c r="M22" s="23"/>
    </row>
    <row r="23" ht="10.5" customHeight="1">
      <c r="M23" s="23"/>
    </row>
    <row r="24" spans="11:13" ht="10.5" customHeight="1">
      <c r="K24" s="30"/>
      <c r="M24" s="23"/>
    </row>
    <row r="25" ht="12" customHeight="1"/>
    <row r="26" spans="1:15" s="4" customFormat="1" ht="12" customHeight="1">
      <c r="A26" s="1"/>
      <c r="B26" s="2"/>
      <c r="C26" s="2"/>
      <c r="D26" s="3"/>
      <c r="F26" s="5"/>
      <c r="I26" s="6"/>
      <c r="J26" s="7"/>
      <c r="K26" s="8"/>
      <c r="M26" s="9"/>
      <c r="O26" s="10"/>
    </row>
    <row r="27" spans="1:15" s="4" customFormat="1" ht="12" customHeight="1">
      <c r="A27" s="1"/>
      <c r="B27" s="2"/>
      <c r="C27" s="2"/>
      <c r="D27" s="3"/>
      <c r="F27" s="5"/>
      <c r="I27" s="6"/>
      <c r="J27" s="7"/>
      <c r="K27" s="8"/>
      <c r="M27" s="9"/>
      <c r="O27" s="10"/>
    </row>
    <row r="28" spans="1:13" ht="10.5" customHeight="1">
      <c r="A28" s="9"/>
      <c r="D28" s="26"/>
      <c r="F28" s="15"/>
      <c r="G28" s="22"/>
      <c r="H28" s="22"/>
      <c r="I28" s="7"/>
      <c r="J28" s="7"/>
      <c r="K28" s="7"/>
      <c r="M28" s="23"/>
    </row>
    <row r="29" spans="1:13" ht="10.5" customHeight="1">
      <c r="A29" s="9"/>
      <c r="D29" s="26"/>
      <c r="F29" s="15"/>
      <c r="G29" s="22"/>
      <c r="H29" s="22"/>
      <c r="I29" s="7"/>
      <c r="J29" s="7"/>
      <c r="K29" s="7"/>
      <c r="M29" s="23"/>
    </row>
    <row r="30" spans="1:13" ht="10.5" customHeight="1">
      <c r="A30" s="9"/>
      <c r="F30" s="15"/>
      <c r="G30" s="22"/>
      <c r="H30" s="22"/>
      <c r="I30" s="7"/>
      <c r="J30" s="7"/>
      <c r="K30" s="7"/>
      <c r="M30" s="23"/>
    </row>
    <row r="31" spans="1:13" ht="10.5" customHeight="1">
      <c r="A31" s="9"/>
      <c r="F31" s="15"/>
      <c r="G31" s="22"/>
      <c r="H31" s="22"/>
      <c r="I31" s="7"/>
      <c r="J31" s="7"/>
      <c r="K31" s="7"/>
      <c r="M31" s="23"/>
    </row>
    <row r="32" spans="1:13" ht="10.5" customHeight="1">
      <c r="A32" s="9"/>
      <c r="F32" s="15"/>
      <c r="G32" s="22"/>
      <c r="H32" s="22"/>
      <c r="I32" s="7"/>
      <c r="J32" s="7"/>
      <c r="K32" s="7"/>
      <c r="M32" s="23"/>
    </row>
    <row r="33" spans="1:13" ht="10.5" customHeight="1">
      <c r="A33" s="9"/>
      <c r="F33" s="15"/>
      <c r="G33" s="22"/>
      <c r="H33" s="22"/>
      <c r="I33" s="7"/>
      <c r="J33" s="7"/>
      <c r="K33" s="7"/>
      <c r="M33" s="23"/>
    </row>
    <row r="34" spans="1:13" ht="10.5" customHeight="1">
      <c r="A34" s="9"/>
      <c r="F34" s="15"/>
      <c r="G34" s="22"/>
      <c r="H34" s="22"/>
      <c r="I34" s="7"/>
      <c r="J34" s="7"/>
      <c r="K34" s="7"/>
      <c r="M34" s="23"/>
    </row>
    <row r="35" spans="1:13" ht="10.5" customHeight="1">
      <c r="A35" s="9"/>
      <c r="F35" s="15"/>
      <c r="G35" s="22"/>
      <c r="H35" s="22"/>
      <c r="I35" s="7"/>
      <c r="J35" s="7"/>
      <c r="K35" s="7"/>
      <c r="M35" s="23"/>
    </row>
    <row r="36" spans="1:13" ht="10.5" customHeight="1">
      <c r="A36" s="9"/>
      <c r="F36" s="15"/>
      <c r="G36" s="22"/>
      <c r="H36" s="22"/>
      <c r="I36" s="7"/>
      <c r="J36" s="7"/>
      <c r="K36" s="7"/>
      <c r="M36" s="23"/>
    </row>
    <row r="37" spans="1:13" ht="10.5" customHeight="1">
      <c r="A37" s="9"/>
      <c r="F37" s="15"/>
      <c r="G37" s="22"/>
      <c r="H37" s="22"/>
      <c r="I37" s="7"/>
      <c r="J37" s="7"/>
      <c r="K37" s="7"/>
      <c r="M37" s="23"/>
    </row>
    <row r="38" spans="1:13" ht="10.5" customHeight="1">
      <c r="A38" s="9"/>
      <c r="F38" s="15"/>
      <c r="G38" s="22"/>
      <c r="H38" s="22"/>
      <c r="I38" s="7"/>
      <c r="J38" s="7"/>
      <c r="K38" s="7"/>
      <c r="M38" s="23"/>
    </row>
    <row r="39" spans="1:15" ht="10.5" customHeight="1">
      <c r="A39" s="9"/>
      <c r="F39" s="4"/>
      <c r="G39" s="22"/>
      <c r="H39" s="22"/>
      <c r="I39" s="7"/>
      <c r="J39" s="31"/>
      <c r="K39" s="31"/>
      <c r="L39" s="32"/>
      <c r="M39" s="33"/>
      <c r="N39" s="34"/>
      <c r="O39" s="35"/>
    </row>
    <row r="40" spans="1:13" ht="10.5" customHeight="1">
      <c r="A40" s="36"/>
      <c r="F40" s="15"/>
      <c r="G40" s="22"/>
      <c r="H40" s="22"/>
      <c r="I40" s="7"/>
      <c r="J40" s="7"/>
      <c r="K40" s="7"/>
      <c r="M40" s="23"/>
    </row>
    <row r="41" spans="1:13" ht="10.5" customHeight="1">
      <c r="A41" s="36"/>
      <c r="F41" s="15"/>
      <c r="G41" s="22"/>
      <c r="H41" s="22"/>
      <c r="I41" s="7"/>
      <c r="J41" s="7"/>
      <c r="K41" s="7"/>
      <c r="M41" s="23"/>
    </row>
    <row r="42" spans="1:13" ht="10.5" customHeight="1">
      <c r="A42" s="36"/>
      <c r="F42" s="15"/>
      <c r="G42" s="22"/>
      <c r="H42" s="22"/>
      <c r="I42" s="7"/>
      <c r="J42" s="7"/>
      <c r="K42" s="7"/>
      <c r="M42" s="23"/>
    </row>
    <row r="43" spans="1:13" ht="10.5" customHeight="1">
      <c r="A43" s="36"/>
      <c r="F43" s="15"/>
      <c r="G43" s="22"/>
      <c r="H43" s="22"/>
      <c r="I43" s="7"/>
      <c r="J43" s="7"/>
      <c r="K43" s="7"/>
      <c r="M43" s="23"/>
    </row>
    <row r="44" spans="6:13" ht="10.5" customHeight="1">
      <c r="F44" s="15"/>
      <c r="G44" s="22"/>
      <c r="H44" s="22"/>
      <c r="I44" s="7"/>
      <c r="J44" s="7"/>
      <c r="K44" s="7"/>
      <c r="M44" s="23"/>
    </row>
    <row r="45" spans="6:13" ht="10.5" customHeight="1">
      <c r="F45" s="15"/>
      <c r="G45" s="22"/>
      <c r="H45" s="22"/>
      <c r="I45" s="7"/>
      <c r="J45" s="7"/>
      <c r="K45" s="7"/>
      <c r="M45" s="23"/>
    </row>
    <row r="46" spans="6:13" ht="10.5" customHeight="1">
      <c r="F46" s="15"/>
      <c r="G46" s="22"/>
      <c r="H46" s="22"/>
      <c r="I46" s="7"/>
      <c r="J46" s="7"/>
      <c r="K46" s="7"/>
      <c r="M46" s="23"/>
    </row>
    <row r="47" spans="6:13" ht="10.5" customHeight="1">
      <c r="F47" s="15"/>
      <c r="G47" s="22"/>
      <c r="H47" s="22"/>
      <c r="I47" s="7"/>
      <c r="J47" s="7"/>
      <c r="K47" s="7"/>
      <c r="M47" s="23"/>
    </row>
    <row r="48" spans="6:13" ht="10.5" customHeight="1">
      <c r="F48" s="15"/>
      <c r="G48" s="22"/>
      <c r="H48" s="22"/>
      <c r="I48" s="7"/>
      <c r="J48" s="7"/>
      <c r="K48" s="7"/>
      <c r="M48" s="23"/>
    </row>
    <row r="49" spans="6:13" ht="10.5" customHeight="1">
      <c r="F49" s="15"/>
      <c r="G49" s="22"/>
      <c r="H49" s="22"/>
      <c r="I49" s="7"/>
      <c r="J49" s="7"/>
      <c r="K49" s="7"/>
      <c r="M49" s="23"/>
    </row>
    <row r="50" spans="6:13" ht="10.5" customHeight="1">
      <c r="F50" s="15"/>
      <c r="G50" s="22"/>
      <c r="H50" s="22"/>
      <c r="I50" s="7"/>
      <c r="J50" s="7"/>
      <c r="K50" s="7"/>
      <c r="M50" s="23"/>
    </row>
    <row r="51" spans="6:13" ht="10.5" customHeight="1">
      <c r="F51" s="15"/>
      <c r="G51" s="22"/>
      <c r="H51" s="22"/>
      <c r="I51" s="7"/>
      <c r="J51" s="7"/>
      <c r="K51" s="7"/>
      <c r="M51" s="23"/>
    </row>
    <row r="52" spans="2:13" ht="10.5" customHeight="1">
      <c r="B52" s="20"/>
      <c r="C52" s="20"/>
      <c r="F52" s="15"/>
      <c r="G52" s="22"/>
      <c r="H52" s="22"/>
      <c r="I52" s="7"/>
      <c r="K52" s="7"/>
      <c r="M52" s="23"/>
    </row>
    <row r="53" spans="2:13" ht="10.5" customHeight="1">
      <c r="B53" s="20"/>
      <c r="C53" s="20"/>
      <c r="F53" s="15"/>
      <c r="G53" s="22"/>
      <c r="H53" s="22"/>
      <c r="I53" s="7"/>
      <c r="K53" s="7"/>
      <c r="M53" s="23"/>
    </row>
    <row r="54" spans="2:13" ht="10.5" customHeight="1">
      <c r="B54" s="20"/>
      <c r="C54" s="20"/>
      <c r="F54" s="15"/>
      <c r="G54" s="22"/>
      <c r="H54" s="22"/>
      <c r="I54" s="7"/>
      <c r="K54" s="7"/>
      <c r="M54" s="23"/>
    </row>
    <row r="55" spans="6:13" ht="10.5" customHeight="1">
      <c r="F55" s="15"/>
      <c r="G55" s="22"/>
      <c r="H55" s="22"/>
      <c r="I55" s="7"/>
      <c r="K55" s="7"/>
      <c r="M55" s="23"/>
    </row>
    <row r="56" spans="6:13" ht="10.5" customHeight="1">
      <c r="F56" s="15"/>
      <c r="G56" s="22"/>
      <c r="H56" s="22"/>
      <c r="I56" s="7"/>
      <c r="K56" s="7"/>
      <c r="M56" s="23"/>
    </row>
    <row r="57" spans="6:13" ht="10.5" customHeight="1">
      <c r="F57" s="15"/>
      <c r="G57" s="22"/>
      <c r="H57" s="22"/>
      <c r="I57" s="7"/>
      <c r="K57" s="7"/>
      <c r="M57" s="23"/>
    </row>
    <row r="58" spans="6:13" ht="10.5" customHeight="1">
      <c r="F58" s="15"/>
      <c r="G58" s="22"/>
      <c r="H58" s="22"/>
      <c r="I58" s="7"/>
      <c r="K58" s="7"/>
      <c r="M58" s="23"/>
    </row>
    <row r="59" spans="6:13" ht="10.5" customHeight="1">
      <c r="F59" s="15"/>
      <c r="G59" s="22"/>
      <c r="H59" s="22"/>
      <c r="I59" s="7"/>
      <c r="K59" s="7"/>
      <c r="M59" s="23"/>
    </row>
    <row r="60" spans="6:13" ht="10.5" customHeight="1">
      <c r="F60" s="15"/>
      <c r="G60" s="22"/>
      <c r="H60" s="22"/>
      <c r="I60" s="7"/>
      <c r="K60" s="7"/>
      <c r="M60" s="23"/>
    </row>
    <row r="61" spans="6:13" ht="10.5" customHeight="1">
      <c r="F61" s="15"/>
      <c r="G61" s="22"/>
      <c r="H61" s="22"/>
      <c r="I61" s="7"/>
      <c r="K61" s="7"/>
      <c r="M61" s="23"/>
    </row>
    <row r="62" spans="6:13" ht="10.5" customHeight="1">
      <c r="F62" s="15"/>
      <c r="G62" s="22"/>
      <c r="H62" s="22"/>
      <c r="I62" s="7"/>
      <c r="K62" s="7"/>
      <c r="M62" s="23"/>
    </row>
    <row r="63" spans="7:13" ht="10.5" customHeight="1">
      <c r="G63" s="22"/>
      <c r="H63" s="22"/>
      <c r="M63" s="23"/>
    </row>
    <row r="64" ht="10.5" customHeight="1">
      <c r="M64" s="23"/>
    </row>
    <row r="65" spans="11:13" ht="10.5" customHeight="1">
      <c r="K65" s="7"/>
      <c r="M65" s="23"/>
    </row>
    <row r="66" ht="10.5" customHeight="1">
      <c r="M66" s="23"/>
    </row>
    <row r="67" spans="11:13" ht="10.5" customHeight="1">
      <c r="K67" s="30"/>
      <c r="M67" s="23"/>
    </row>
  </sheetData>
  <sheetProtection/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scale="11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selection activeCell="P6" sqref="P6:P12"/>
    </sheetView>
  </sheetViews>
  <sheetFormatPr defaultColWidth="10.421875" defaultRowHeight="12.75"/>
  <cols>
    <col min="1" max="1" width="7.421875" style="4" customWidth="1"/>
    <col min="2" max="2" width="16.00390625" style="26" customWidth="1"/>
    <col min="3" max="3" width="5.140625" style="26" bestFit="1" customWidth="1"/>
    <col min="4" max="4" width="14.00390625" style="21" customWidth="1"/>
    <col min="5" max="5" width="6.8515625" style="21" customWidth="1"/>
    <col min="6" max="6" width="7.421875" style="27" bestFit="1" customWidth="1"/>
    <col min="7" max="7" width="7.57421875" style="15" customWidth="1"/>
    <col min="8" max="8" width="7.140625" style="15" customWidth="1"/>
    <col min="9" max="9" width="7.7109375" style="28" bestFit="1" customWidth="1"/>
    <col min="10" max="10" width="2.28125" style="29" customWidth="1"/>
    <col min="11" max="11" width="5.421875" style="28" customWidth="1"/>
    <col min="12" max="12" width="6.57421875" style="22" hidden="1" customWidth="1"/>
    <col min="13" max="13" width="10.7109375" style="21" hidden="1" customWidth="1"/>
    <col min="14" max="14" width="10.00390625" style="24" bestFit="1" customWidth="1"/>
    <col min="15" max="15" width="8.00390625" style="24" customWidth="1"/>
    <col min="16" max="16" width="8.57421875" style="24" customWidth="1"/>
    <col min="17" max="16384" width="10.421875" style="21" customWidth="1"/>
  </cols>
  <sheetData>
    <row r="1" spans="1:15" s="4" customFormat="1" ht="12" customHeight="1">
      <c r="A1" s="1" t="s">
        <v>42</v>
      </c>
      <c r="B1" s="2"/>
      <c r="C1" s="2"/>
      <c r="D1" s="3"/>
      <c r="F1" s="5"/>
      <c r="I1" s="6"/>
      <c r="J1" s="7"/>
      <c r="K1" s="8"/>
      <c r="M1" s="9" t="s">
        <v>0</v>
      </c>
      <c r="O1" s="10"/>
    </row>
    <row r="2" spans="1:15" s="4" customFormat="1" ht="12" customHeight="1">
      <c r="A2" s="1"/>
      <c r="B2" s="2"/>
      <c r="C2" s="2"/>
      <c r="D2" s="3"/>
      <c r="F2" s="5"/>
      <c r="I2" s="6"/>
      <c r="J2" s="7"/>
      <c r="K2" s="8"/>
      <c r="M2" s="9"/>
      <c r="O2" s="10"/>
    </row>
    <row r="3" spans="1:17" s="4" customFormat="1" ht="56.25">
      <c r="A3" s="11" t="s">
        <v>22</v>
      </c>
      <c r="B3" s="3" t="s">
        <v>3</v>
      </c>
      <c r="C3" s="3" t="s">
        <v>2</v>
      </c>
      <c r="D3" s="10" t="s">
        <v>4</v>
      </c>
      <c r="E3" s="10" t="s">
        <v>5</v>
      </c>
      <c r="F3" s="12" t="s">
        <v>6</v>
      </c>
      <c r="G3" s="13" t="s">
        <v>7</v>
      </c>
      <c r="H3" s="13" t="s">
        <v>8</v>
      </c>
      <c r="I3" s="14" t="s">
        <v>32</v>
      </c>
      <c r="J3" s="15"/>
      <c r="K3" s="13" t="s">
        <v>20</v>
      </c>
      <c r="L3" s="13"/>
      <c r="M3" s="9"/>
      <c r="N3" s="16" t="s">
        <v>9</v>
      </c>
      <c r="O3" s="17" t="s">
        <v>10</v>
      </c>
      <c r="P3" s="16" t="s">
        <v>11</v>
      </c>
      <c r="Q3" s="18"/>
    </row>
    <row r="4" spans="1:16" s="4" customFormat="1" ht="11.25">
      <c r="A4" s="19"/>
      <c r="B4" s="3"/>
      <c r="C4" s="3"/>
      <c r="D4" s="10"/>
      <c r="E4" s="10"/>
      <c r="F4" s="12"/>
      <c r="G4" s="13"/>
      <c r="H4" s="13"/>
      <c r="I4" s="14"/>
      <c r="J4" s="15"/>
      <c r="K4" s="14"/>
      <c r="L4" s="13"/>
      <c r="M4" s="9"/>
      <c r="N4" s="16"/>
      <c r="O4" s="17"/>
      <c r="P4" s="16"/>
    </row>
    <row r="5" spans="1:17" ht="10.5" customHeight="1">
      <c r="A5" s="4" t="s">
        <v>14</v>
      </c>
      <c r="B5" s="20" t="s">
        <v>26</v>
      </c>
      <c r="C5" s="20" t="s">
        <v>29</v>
      </c>
      <c r="D5" s="21" t="s">
        <v>1</v>
      </c>
      <c r="F5" s="15">
        <f>534560+10000+5340+12000+12000</f>
        <v>573900</v>
      </c>
      <c r="G5" s="22">
        <f aca="true" t="shared" si="0" ref="G5:G11">F5-(F5/1.12)</f>
        <v>61489.28571428574</v>
      </c>
      <c r="H5" s="22">
        <f aca="true" t="shared" si="1" ref="H5:H10">K5*132</f>
        <v>0</v>
      </c>
      <c r="I5" s="7">
        <f aca="true" t="shared" si="2" ref="I5:I11">F5/12</f>
        <v>47825</v>
      </c>
      <c r="J5" s="7"/>
      <c r="K5" s="7">
        <v>0</v>
      </c>
      <c r="L5" s="22">
        <f aca="true" t="shared" si="3" ref="L5:L11">K5*146</f>
        <v>0</v>
      </c>
      <c r="M5" s="23">
        <f aca="true" t="shared" si="4" ref="M5:M10">(F5-L5)/12</f>
        <v>47825</v>
      </c>
      <c r="N5" s="24">
        <f aca="true" t="shared" si="5" ref="N5:N10">F5/1752</f>
        <v>327.56849315068496</v>
      </c>
      <c r="O5" s="24">
        <f aca="true" t="shared" si="6" ref="O5:O11">N5*1.65</f>
        <v>540.4880136986302</v>
      </c>
      <c r="P5" s="24">
        <f>(F5-(775*146))/1950</f>
        <v>236.28205128205127</v>
      </c>
      <c r="Q5" s="25"/>
    </row>
    <row r="6" spans="1:17" ht="10.5" customHeight="1">
      <c r="A6" s="4" t="s">
        <v>15</v>
      </c>
      <c r="F6" s="15">
        <f>547077+10000+5340+12000+12000</f>
        <v>586417</v>
      </c>
      <c r="G6" s="22">
        <f t="shared" si="0"/>
        <v>62830.3928571429</v>
      </c>
      <c r="H6" s="22">
        <f t="shared" si="1"/>
        <v>0</v>
      </c>
      <c r="I6" s="7">
        <f t="shared" si="2"/>
        <v>48868.083333333336</v>
      </c>
      <c r="J6" s="7"/>
      <c r="K6" s="7">
        <v>0</v>
      </c>
      <c r="L6" s="22">
        <f t="shared" si="3"/>
        <v>0</v>
      </c>
      <c r="M6" s="23">
        <f t="shared" si="4"/>
        <v>48868.083333333336</v>
      </c>
      <c r="N6" s="24">
        <f t="shared" si="5"/>
        <v>334.712899543379</v>
      </c>
      <c r="O6" s="24">
        <f t="shared" si="6"/>
        <v>552.2762842465754</v>
      </c>
      <c r="P6" s="24">
        <f aca="true" t="shared" si="7" ref="P6:P12">(F6-(775*146))/1950</f>
        <v>242.70102564102564</v>
      </c>
      <c r="Q6" s="25"/>
    </row>
    <row r="7" spans="1:17" ht="10.5" customHeight="1">
      <c r="A7" s="4" t="s">
        <v>16</v>
      </c>
      <c r="F7" s="15">
        <f>559593+10000+5340+12000+12000</f>
        <v>598933</v>
      </c>
      <c r="G7" s="22">
        <f t="shared" si="0"/>
        <v>64171.39285714296</v>
      </c>
      <c r="H7" s="22">
        <f t="shared" si="1"/>
        <v>0</v>
      </c>
      <c r="I7" s="7">
        <f t="shared" si="2"/>
        <v>49911.083333333336</v>
      </c>
      <c r="J7" s="7"/>
      <c r="K7" s="7">
        <v>0</v>
      </c>
      <c r="L7" s="22">
        <f t="shared" si="3"/>
        <v>0</v>
      </c>
      <c r="M7" s="23">
        <f t="shared" si="4"/>
        <v>49911.083333333336</v>
      </c>
      <c r="N7" s="24">
        <f t="shared" si="5"/>
        <v>341.85673515981733</v>
      </c>
      <c r="O7" s="24">
        <f t="shared" si="6"/>
        <v>564.0636130136986</v>
      </c>
      <c r="P7" s="24">
        <f t="shared" si="7"/>
        <v>249.11948717948718</v>
      </c>
      <c r="Q7" s="25"/>
    </row>
    <row r="8" spans="1:17" ht="10.5" customHeight="1">
      <c r="A8" s="4" t="s">
        <v>17</v>
      </c>
      <c r="B8" s="20" t="s">
        <v>35</v>
      </c>
      <c r="C8" s="20" t="s">
        <v>28</v>
      </c>
      <c r="D8" s="21" t="s">
        <v>31</v>
      </c>
      <c r="F8" s="15">
        <f>572108+10000+5340+12000+12000</f>
        <v>611448</v>
      </c>
      <c r="G8" s="22">
        <f t="shared" si="0"/>
        <v>65512.2857142858</v>
      </c>
      <c r="H8" s="22">
        <f t="shared" si="1"/>
        <v>0</v>
      </c>
      <c r="I8" s="7">
        <f t="shared" si="2"/>
        <v>50954</v>
      </c>
      <c r="J8" s="7"/>
      <c r="K8" s="7">
        <v>0</v>
      </c>
      <c r="L8" s="22">
        <f t="shared" si="3"/>
        <v>0</v>
      </c>
      <c r="M8" s="23">
        <f t="shared" si="4"/>
        <v>50954</v>
      </c>
      <c r="N8" s="24">
        <f t="shared" si="5"/>
        <v>349</v>
      </c>
      <c r="O8" s="24">
        <f t="shared" si="6"/>
        <v>575.85</v>
      </c>
      <c r="P8" s="24">
        <f t="shared" si="7"/>
        <v>255.5374358974359</v>
      </c>
      <c r="Q8" s="25"/>
    </row>
    <row r="9" spans="1:17" ht="10.5" customHeight="1">
      <c r="A9" s="4" t="s">
        <v>18</v>
      </c>
      <c r="F9" s="15">
        <f>584625+10000+5340+12000+12000</f>
        <v>623965</v>
      </c>
      <c r="G9" s="22">
        <f t="shared" si="0"/>
        <v>66853.39285714296</v>
      </c>
      <c r="H9" s="22">
        <f t="shared" si="1"/>
        <v>0</v>
      </c>
      <c r="I9" s="7">
        <f t="shared" si="2"/>
        <v>51997.083333333336</v>
      </c>
      <c r="J9" s="7"/>
      <c r="K9" s="7">
        <v>0</v>
      </c>
      <c r="L9" s="22">
        <f t="shared" si="3"/>
        <v>0</v>
      </c>
      <c r="M9" s="23">
        <f t="shared" si="4"/>
        <v>51997.083333333336</v>
      </c>
      <c r="N9" s="24">
        <f t="shared" si="5"/>
        <v>356.14440639269407</v>
      </c>
      <c r="O9" s="24">
        <f t="shared" si="6"/>
        <v>587.6382705479451</v>
      </c>
      <c r="P9" s="24">
        <f t="shared" si="7"/>
        <v>261.95641025641027</v>
      </c>
      <c r="Q9" s="25"/>
    </row>
    <row r="10" spans="1:17" ht="10.5" customHeight="1">
      <c r="A10" s="4" t="s">
        <v>19</v>
      </c>
      <c r="F10" s="15">
        <f>601031+10000+5340+12000+12000</f>
        <v>640371</v>
      </c>
      <c r="G10" s="22">
        <f t="shared" si="0"/>
        <v>68611.17857142864</v>
      </c>
      <c r="H10" s="22">
        <f t="shared" si="1"/>
        <v>0</v>
      </c>
      <c r="I10" s="7">
        <f t="shared" si="2"/>
        <v>53364.25</v>
      </c>
      <c r="J10" s="7"/>
      <c r="K10" s="7">
        <v>0</v>
      </c>
      <c r="L10" s="22">
        <f t="shared" si="3"/>
        <v>0</v>
      </c>
      <c r="M10" s="23">
        <f t="shared" si="4"/>
        <v>53364.25</v>
      </c>
      <c r="N10" s="24">
        <f t="shared" si="5"/>
        <v>365.5085616438356</v>
      </c>
      <c r="O10" s="24">
        <f t="shared" si="6"/>
        <v>603.0891267123287</v>
      </c>
      <c r="P10" s="24">
        <f t="shared" si="7"/>
        <v>270.36974358974356</v>
      </c>
      <c r="Q10" s="25"/>
    </row>
    <row r="11" spans="1:17" ht="10.5" customHeight="1">
      <c r="A11" s="4" t="s">
        <v>23</v>
      </c>
      <c r="F11" s="15">
        <f>616879+10000+5340+12000+12000</f>
        <v>656219</v>
      </c>
      <c r="G11" s="22">
        <f t="shared" si="0"/>
        <v>70309.17857142864</v>
      </c>
      <c r="H11" s="22">
        <f>K11*132</f>
        <v>0</v>
      </c>
      <c r="I11" s="7">
        <f t="shared" si="2"/>
        <v>54684.916666666664</v>
      </c>
      <c r="J11" s="7"/>
      <c r="K11" s="7">
        <v>0</v>
      </c>
      <c r="L11" s="22">
        <f t="shared" si="3"/>
        <v>0</v>
      </c>
      <c r="M11" s="23">
        <f>(F11-L11)/12</f>
        <v>54684.916666666664</v>
      </c>
      <c r="N11" s="24">
        <f>F11/1752</f>
        <v>374.55422374429224</v>
      </c>
      <c r="O11" s="24">
        <f t="shared" si="6"/>
        <v>618.0144691780822</v>
      </c>
      <c r="P11" s="24">
        <f t="shared" si="7"/>
        <v>278.49692307692305</v>
      </c>
      <c r="Q11" s="25"/>
    </row>
    <row r="12" spans="1:17" ht="10.5" customHeight="1">
      <c r="A12" s="4" t="s">
        <v>37</v>
      </c>
      <c r="F12" s="15">
        <f>629379+10000+6340+12000+12000</f>
        <v>669719</v>
      </c>
      <c r="G12" s="22">
        <f>F12-(F12/1.12)</f>
        <v>71755.60714285716</v>
      </c>
      <c r="H12" s="22">
        <f>K12*132</f>
        <v>0</v>
      </c>
      <c r="I12" s="7">
        <f>F12/12</f>
        <v>55809.916666666664</v>
      </c>
      <c r="J12" s="7"/>
      <c r="K12" s="7">
        <v>0</v>
      </c>
      <c r="L12" s="22">
        <f>K12*146</f>
        <v>0</v>
      </c>
      <c r="M12" s="23">
        <f>(F12-L12)/12</f>
        <v>55809.916666666664</v>
      </c>
      <c r="N12" s="24">
        <f>F12/1752</f>
        <v>382.259703196347</v>
      </c>
      <c r="O12" s="24">
        <f>N12*1.65</f>
        <v>630.7285102739726</v>
      </c>
      <c r="P12" s="24">
        <f t="shared" si="7"/>
        <v>285.42</v>
      </c>
      <c r="Q12" s="25"/>
    </row>
    <row r="13" spans="11:13" ht="10.5" customHeight="1">
      <c r="K13" s="7">
        <v>0</v>
      </c>
      <c r="M13" s="23"/>
    </row>
    <row r="14" ht="10.5" customHeight="1">
      <c r="M14" s="23"/>
    </row>
    <row r="15" ht="10.5" customHeight="1">
      <c r="M15" s="23"/>
    </row>
    <row r="16" ht="10.5" customHeight="1">
      <c r="M16" s="23"/>
    </row>
    <row r="17" ht="10.5" customHeight="1">
      <c r="M17" s="23"/>
    </row>
    <row r="18" ht="10.5" customHeight="1">
      <c r="M18" s="23"/>
    </row>
    <row r="19" ht="10.5" customHeight="1">
      <c r="M19" s="23"/>
    </row>
    <row r="20" ht="10.5" customHeight="1">
      <c r="M20" s="23"/>
    </row>
    <row r="21" ht="10.5" customHeight="1">
      <c r="M21" s="23"/>
    </row>
    <row r="22" ht="10.5" customHeight="1">
      <c r="M22" s="23"/>
    </row>
    <row r="23" ht="10.5" customHeight="1">
      <c r="M23" s="23"/>
    </row>
    <row r="24" spans="11:13" ht="10.5" customHeight="1">
      <c r="K24" s="30"/>
      <c r="M24" s="23"/>
    </row>
    <row r="25" ht="12" customHeight="1"/>
    <row r="26" spans="1:15" s="4" customFormat="1" ht="12" customHeight="1">
      <c r="A26" s="1"/>
      <c r="B26" s="2"/>
      <c r="C26" s="2"/>
      <c r="D26" s="3"/>
      <c r="F26" s="5"/>
      <c r="I26" s="6"/>
      <c r="J26" s="7"/>
      <c r="K26" s="8"/>
      <c r="M26" s="9"/>
      <c r="O26" s="10"/>
    </row>
    <row r="27" spans="1:15" s="4" customFormat="1" ht="12" customHeight="1">
      <c r="A27" s="1"/>
      <c r="B27" s="2"/>
      <c r="C27" s="2"/>
      <c r="D27" s="3"/>
      <c r="F27" s="5"/>
      <c r="I27" s="6"/>
      <c r="J27" s="7"/>
      <c r="K27" s="8"/>
      <c r="M27" s="9"/>
      <c r="O27" s="10"/>
    </row>
    <row r="28" spans="1:13" ht="10.5" customHeight="1">
      <c r="A28" s="9"/>
      <c r="D28" s="26"/>
      <c r="F28" s="15"/>
      <c r="G28" s="22"/>
      <c r="H28" s="22"/>
      <c r="I28" s="7"/>
      <c r="J28" s="7"/>
      <c r="K28" s="7"/>
      <c r="M28" s="23"/>
    </row>
    <row r="29" spans="1:13" ht="10.5" customHeight="1">
      <c r="A29" s="9"/>
      <c r="D29" s="26"/>
      <c r="F29" s="15"/>
      <c r="G29" s="22"/>
      <c r="H29" s="22"/>
      <c r="I29" s="7"/>
      <c r="J29" s="7"/>
      <c r="K29" s="7"/>
      <c r="M29" s="23"/>
    </row>
    <row r="30" spans="1:13" ht="10.5" customHeight="1">
      <c r="A30" s="9"/>
      <c r="F30" s="15"/>
      <c r="G30" s="22"/>
      <c r="H30" s="22"/>
      <c r="I30" s="7"/>
      <c r="J30" s="7"/>
      <c r="K30" s="7"/>
      <c r="M30" s="23"/>
    </row>
    <row r="31" spans="1:13" ht="10.5" customHeight="1">
      <c r="A31" s="9"/>
      <c r="F31" s="15"/>
      <c r="G31" s="22"/>
      <c r="H31" s="22"/>
      <c r="I31" s="7"/>
      <c r="J31" s="7"/>
      <c r="K31" s="7"/>
      <c r="M31" s="23"/>
    </row>
    <row r="32" spans="1:13" ht="10.5" customHeight="1">
      <c r="A32" s="9"/>
      <c r="F32" s="15"/>
      <c r="G32" s="22"/>
      <c r="H32" s="22"/>
      <c r="I32" s="7"/>
      <c r="J32" s="7"/>
      <c r="K32" s="7"/>
      <c r="M32" s="23"/>
    </row>
    <row r="33" spans="1:13" ht="10.5" customHeight="1">
      <c r="A33" s="9"/>
      <c r="F33" s="15"/>
      <c r="G33" s="22"/>
      <c r="H33" s="22"/>
      <c r="I33" s="7"/>
      <c r="J33" s="7"/>
      <c r="K33" s="7"/>
      <c r="M33" s="23"/>
    </row>
    <row r="34" spans="1:13" ht="10.5" customHeight="1">
      <c r="A34" s="9"/>
      <c r="F34" s="15"/>
      <c r="G34" s="22"/>
      <c r="H34" s="22"/>
      <c r="I34" s="7"/>
      <c r="J34" s="7"/>
      <c r="K34" s="7"/>
      <c r="M34" s="23"/>
    </row>
    <row r="35" spans="1:13" ht="10.5" customHeight="1">
      <c r="A35" s="9"/>
      <c r="F35" s="15"/>
      <c r="G35" s="22"/>
      <c r="H35" s="22"/>
      <c r="I35" s="7"/>
      <c r="J35" s="7"/>
      <c r="K35" s="7"/>
      <c r="M35" s="23"/>
    </row>
    <row r="36" spans="1:13" ht="10.5" customHeight="1">
      <c r="A36" s="9"/>
      <c r="F36" s="15"/>
      <c r="G36" s="22"/>
      <c r="H36" s="22"/>
      <c r="I36" s="7"/>
      <c r="J36" s="7"/>
      <c r="K36" s="7"/>
      <c r="M36" s="23"/>
    </row>
    <row r="37" spans="1:13" ht="10.5" customHeight="1">
      <c r="A37" s="9"/>
      <c r="F37" s="15"/>
      <c r="G37" s="22"/>
      <c r="H37" s="22"/>
      <c r="I37" s="7"/>
      <c r="J37" s="7"/>
      <c r="K37" s="7"/>
      <c r="M37" s="23"/>
    </row>
    <row r="38" spans="1:13" ht="10.5" customHeight="1">
      <c r="A38" s="9"/>
      <c r="F38" s="15"/>
      <c r="G38" s="22"/>
      <c r="H38" s="22"/>
      <c r="I38" s="7"/>
      <c r="J38" s="7"/>
      <c r="K38" s="7"/>
      <c r="M38" s="23"/>
    </row>
    <row r="39" spans="1:15" ht="10.5" customHeight="1">
      <c r="A39" s="9"/>
      <c r="F39" s="4"/>
      <c r="G39" s="22"/>
      <c r="H39" s="22"/>
      <c r="I39" s="7"/>
      <c r="J39" s="31"/>
      <c r="K39" s="31"/>
      <c r="L39" s="32"/>
      <c r="M39" s="33"/>
      <c r="N39" s="34"/>
      <c r="O39" s="35"/>
    </row>
    <row r="40" spans="1:13" ht="10.5" customHeight="1">
      <c r="A40" s="36"/>
      <c r="F40" s="15"/>
      <c r="G40" s="22"/>
      <c r="H40" s="22"/>
      <c r="I40" s="7"/>
      <c r="J40" s="7"/>
      <c r="K40" s="7"/>
      <c r="M40" s="23"/>
    </row>
    <row r="41" spans="1:13" ht="10.5" customHeight="1">
      <c r="A41" s="36"/>
      <c r="F41" s="15"/>
      <c r="G41" s="22"/>
      <c r="H41" s="22"/>
      <c r="I41" s="7"/>
      <c r="J41" s="7"/>
      <c r="K41" s="7"/>
      <c r="M41" s="23"/>
    </row>
    <row r="42" spans="1:13" ht="10.5" customHeight="1">
      <c r="A42" s="36"/>
      <c r="F42" s="15"/>
      <c r="G42" s="22"/>
      <c r="H42" s="22"/>
      <c r="I42" s="7"/>
      <c r="J42" s="7"/>
      <c r="K42" s="7"/>
      <c r="M42" s="23"/>
    </row>
    <row r="43" spans="1:13" ht="10.5" customHeight="1">
      <c r="A43" s="36"/>
      <c r="F43" s="15"/>
      <c r="G43" s="22"/>
      <c r="H43" s="22"/>
      <c r="I43" s="7"/>
      <c r="J43" s="7"/>
      <c r="K43" s="7"/>
      <c r="M43" s="23"/>
    </row>
    <row r="44" spans="6:13" ht="10.5" customHeight="1">
      <c r="F44" s="15"/>
      <c r="G44" s="22"/>
      <c r="H44" s="22"/>
      <c r="I44" s="7"/>
      <c r="J44" s="7"/>
      <c r="K44" s="7"/>
      <c r="M44" s="23"/>
    </row>
    <row r="45" spans="6:13" ht="10.5" customHeight="1">
      <c r="F45" s="15"/>
      <c r="G45" s="22"/>
      <c r="H45" s="22"/>
      <c r="I45" s="7"/>
      <c r="J45" s="7"/>
      <c r="K45" s="7"/>
      <c r="M45" s="23"/>
    </row>
    <row r="46" spans="6:13" ht="10.5" customHeight="1">
      <c r="F46" s="15"/>
      <c r="G46" s="22"/>
      <c r="H46" s="22"/>
      <c r="I46" s="7"/>
      <c r="J46" s="7"/>
      <c r="K46" s="7"/>
      <c r="M46" s="23"/>
    </row>
    <row r="47" spans="6:13" ht="10.5" customHeight="1">
      <c r="F47" s="15"/>
      <c r="G47" s="22"/>
      <c r="H47" s="22"/>
      <c r="I47" s="7"/>
      <c r="J47" s="7"/>
      <c r="K47" s="7"/>
      <c r="M47" s="23"/>
    </row>
    <row r="48" spans="6:13" ht="10.5" customHeight="1">
      <c r="F48" s="15"/>
      <c r="G48" s="22"/>
      <c r="H48" s="22"/>
      <c r="I48" s="7"/>
      <c r="J48" s="7"/>
      <c r="K48" s="7"/>
      <c r="M48" s="23"/>
    </row>
    <row r="49" spans="6:13" ht="10.5" customHeight="1">
      <c r="F49" s="15"/>
      <c r="G49" s="22"/>
      <c r="H49" s="22"/>
      <c r="I49" s="7"/>
      <c r="J49" s="7"/>
      <c r="K49" s="7"/>
      <c r="M49" s="23"/>
    </row>
    <row r="50" spans="6:13" ht="10.5" customHeight="1">
      <c r="F50" s="15"/>
      <c r="G50" s="22"/>
      <c r="H50" s="22"/>
      <c r="I50" s="7"/>
      <c r="J50" s="7"/>
      <c r="K50" s="7"/>
      <c r="M50" s="23"/>
    </row>
    <row r="51" spans="6:13" ht="10.5" customHeight="1">
      <c r="F51" s="15"/>
      <c r="G51" s="22"/>
      <c r="H51" s="22"/>
      <c r="I51" s="7"/>
      <c r="J51" s="7"/>
      <c r="K51" s="7"/>
      <c r="M51" s="23"/>
    </row>
    <row r="52" spans="2:13" ht="10.5" customHeight="1">
      <c r="B52" s="20"/>
      <c r="C52" s="20"/>
      <c r="F52" s="15"/>
      <c r="G52" s="22"/>
      <c r="H52" s="22"/>
      <c r="I52" s="7"/>
      <c r="K52" s="7"/>
      <c r="M52" s="23"/>
    </row>
    <row r="53" spans="2:13" ht="10.5" customHeight="1">
      <c r="B53" s="20"/>
      <c r="C53" s="20"/>
      <c r="F53" s="15"/>
      <c r="G53" s="22"/>
      <c r="H53" s="22"/>
      <c r="I53" s="7"/>
      <c r="K53" s="7"/>
      <c r="M53" s="23"/>
    </row>
    <row r="54" spans="2:13" ht="10.5" customHeight="1">
      <c r="B54" s="20"/>
      <c r="C54" s="20"/>
      <c r="F54" s="15"/>
      <c r="G54" s="22"/>
      <c r="H54" s="22"/>
      <c r="I54" s="7"/>
      <c r="K54" s="7"/>
      <c r="M54" s="23"/>
    </row>
    <row r="55" spans="6:13" ht="10.5" customHeight="1">
      <c r="F55" s="15"/>
      <c r="G55" s="22"/>
      <c r="H55" s="22"/>
      <c r="I55" s="7"/>
      <c r="K55" s="7"/>
      <c r="M55" s="23"/>
    </row>
    <row r="56" spans="6:13" ht="10.5" customHeight="1">
      <c r="F56" s="15"/>
      <c r="G56" s="22"/>
      <c r="H56" s="22"/>
      <c r="I56" s="7"/>
      <c r="K56" s="7"/>
      <c r="M56" s="23"/>
    </row>
    <row r="57" spans="6:13" ht="10.5" customHeight="1">
      <c r="F57" s="15"/>
      <c r="G57" s="22"/>
      <c r="H57" s="22"/>
      <c r="I57" s="7"/>
      <c r="K57" s="7"/>
      <c r="M57" s="23"/>
    </row>
    <row r="58" spans="6:13" ht="10.5" customHeight="1">
      <c r="F58" s="15"/>
      <c r="G58" s="22"/>
      <c r="H58" s="22"/>
      <c r="I58" s="7"/>
      <c r="K58" s="7"/>
      <c r="M58" s="23"/>
    </row>
    <row r="59" spans="6:13" ht="10.5" customHeight="1">
      <c r="F59" s="15"/>
      <c r="G59" s="22"/>
      <c r="H59" s="22"/>
      <c r="I59" s="7"/>
      <c r="K59" s="7"/>
      <c r="M59" s="23"/>
    </row>
    <row r="60" spans="6:13" ht="10.5" customHeight="1">
      <c r="F60" s="15"/>
      <c r="G60" s="22"/>
      <c r="H60" s="22"/>
      <c r="I60" s="7"/>
      <c r="K60" s="7"/>
      <c r="M60" s="23"/>
    </row>
    <row r="61" spans="6:13" ht="10.5" customHeight="1">
      <c r="F61" s="15"/>
      <c r="G61" s="22"/>
      <c r="H61" s="22"/>
      <c r="I61" s="7"/>
      <c r="K61" s="7"/>
      <c r="M61" s="23"/>
    </row>
    <row r="62" spans="6:13" ht="10.5" customHeight="1">
      <c r="F62" s="15"/>
      <c r="G62" s="22"/>
      <c r="H62" s="22"/>
      <c r="I62" s="7"/>
      <c r="K62" s="7"/>
      <c r="M62" s="23"/>
    </row>
    <row r="63" spans="7:13" ht="10.5" customHeight="1">
      <c r="G63" s="22"/>
      <c r="H63" s="22"/>
      <c r="M63" s="23"/>
    </row>
    <row r="64" ht="10.5" customHeight="1">
      <c r="M64" s="23"/>
    </row>
    <row r="65" spans="11:13" ht="10.5" customHeight="1">
      <c r="K65" s="7"/>
      <c r="M65" s="23"/>
    </row>
    <row r="66" ht="10.5" customHeight="1">
      <c r="M66" s="23"/>
    </row>
    <row r="67" spans="11:13" ht="10.5" customHeight="1">
      <c r="K67" s="30"/>
      <c r="M67" s="23"/>
    </row>
  </sheetData>
  <sheetProtection/>
  <printOptions/>
  <pageMargins left="0.11811023622047245" right="0" top="0.7480314960629921" bottom="0.7480314960629921" header="0.31496062992125984" footer="0.31496062992125984"/>
  <pageSetup horizontalDpi="600" verticalDpi="600" orientation="landscape" paperSize="9" scale="12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selection activeCell="C14" sqref="C14"/>
    </sheetView>
  </sheetViews>
  <sheetFormatPr defaultColWidth="10.421875" defaultRowHeight="12.75"/>
  <cols>
    <col min="1" max="1" width="7.421875" style="4" customWidth="1"/>
    <col min="2" max="2" width="16.00390625" style="26" customWidth="1"/>
    <col min="3" max="3" width="5.140625" style="26" bestFit="1" customWidth="1"/>
    <col min="4" max="4" width="14.00390625" style="21" customWidth="1"/>
    <col min="5" max="5" width="6.8515625" style="21" customWidth="1"/>
    <col min="6" max="6" width="7.421875" style="27" bestFit="1" customWidth="1"/>
    <col min="7" max="7" width="7.57421875" style="15" customWidth="1"/>
    <col min="8" max="8" width="7.140625" style="15" customWidth="1"/>
    <col min="9" max="9" width="7.7109375" style="28" bestFit="1" customWidth="1"/>
    <col min="10" max="10" width="2.28125" style="29" customWidth="1"/>
    <col min="11" max="11" width="5.421875" style="28" customWidth="1"/>
    <col min="12" max="12" width="6.57421875" style="22" hidden="1" customWidth="1"/>
    <col min="13" max="13" width="10.7109375" style="21" hidden="1" customWidth="1"/>
    <col min="14" max="14" width="10.00390625" style="24" bestFit="1" customWidth="1"/>
    <col min="15" max="15" width="8.00390625" style="24" customWidth="1"/>
    <col min="16" max="16" width="8.57421875" style="24" customWidth="1"/>
    <col min="17" max="16384" width="10.421875" style="21" customWidth="1"/>
  </cols>
  <sheetData>
    <row r="1" spans="1:15" s="4" customFormat="1" ht="12" customHeight="1">
      <c r="A1" s="1" t="s">
        <v>43</v>
      </c>
      <c r="B1" s="2"/>
      <c r="C1" s="2"/>
      <c r="D1" s="3"/>
      <c r="F1" s="5"/>
      <c r="I1" s="6"/>
      <c r="J1" s="7"/>
      <c r="K1" s="8"/>
      <c r="M1" s="9" t="s">
        <v>0</v>
      </c>
      <c r="O1" s="10"/>
    </row>
    <row r="2" spans="1:15" s="4" customFormat="1" ht="12" customHeight="1">
      <c r="A2" s="1"/>
      <c r="B2" s="2"/>
      <c r="C2" s="2"/>
      <c r="D2" s="3"/>
      <c r="F2" s="5"/>
      <c r="I2" s="6"/>
      <c r="J2" s="7"/>
      <c r="K2" s="8"/>
      <c r="M2" s="9"/>
      <c r="O2" s="10"/>
    </row>
    <row r="3" spans="1:17" s="4" customFormat="1" ht="56.25">
      <c r="A3" s="11" t="s">
        <v>22</v>
      </c>
      <c r="B3" s="3" t="s">
        <v>3</v>
      </c>
      <c r="C3" s="3" t="s">
        <v>2</v>
      </c>
      <c r="D3" s="10" t="s">
        <v>4</v>
      </c>
      <c r="E3" s="10" t="s">
        <v>5</v>
      </c>
      <c r="F3" s="12" t="s">
        <v>6</v>
      </c>
      <c r="G3" s="13" t="s">
        <v>7</v>
      </c>
      <c r="H3" s="13" t="s">
        <v>8</v>
      </c>
      <c r="I3" s="14" t="s">
        <v>32</v>
      </c>
      <c r="J3" s="15"/>
      <c r="K3" s="13" t="s">
        <v>20</v>
      </c>
      <c r="L3" s="13"/>
      <c r="M3" s="9"/>
      <c r="N3" s="16" t="s">
        <v>9</v>
      </c>
      <c r="O3" s="17" t="s">
        <v>10</v>
      </c>
      <c r="P3" s="16" t="s">
        <v>11</v>
      </c>
      <c r="Q3" s="18"/>
    </row>
    <row r="4" spans="1:16" s="4" customFormat="1" ht="11.25">
      <c r="A4" s="19"/>
      <c r="B4" s="3"/>
      <c r="C4" s="3"/>
      <c r="D4" s="10"/>
      <c r="E4" s="10"/>
      <c r="F4" s="12"/>
      <c r="G4" s="13"/>
      <c r="H4" s="13"/>
      <c r="I4" s="14"/>
      <c r="J4" s="15"/>
      <c r="K4" s="14"/>
      <c r="L4" s="13"/>
      <c r="M4" s="9"/>
      <c r="N4" s="16"/>
      <c r="O4" s="17"/>
      <c r="P4" s="16"/>
    </row>
    <row r="5" spans="1:17" ht="10.5" customHeight="1">
      <c r="A5" s="4" t="s">
        <v>14</v>
      </c>
      <c r="B5" s="20" t="s">
        <v>26</v>
      </c>
      <c r="C5" s="20" t="s">
        <v>29</v>
      </c>
      <c r="D5" s="21" t="s">
        <v>1</v>
      </c>
      <c r="F5" s="15">
        <f>534560+10000+5340+12000+12000+5160</f>
        <v>579060</v>
      </c>
      <c r="G5" s="22">
        <f aca="true" t="shared" si="0" ref="G5:G11">F5-(F5/1.12)</f>
        <v>62042.1428571429</v>
      </c>
      <c r="H5" s="22">
        <f aca="true" t="shared" si="1" ref="H5:H10">K5*132</f>
        <v>0</v>
      </c>
      <c r="I5" s="7">
        <f aca="true" t="shared" si="2" ref="I5:I11">F5/12</f>
        <v>48255</v>
      </c>
      <c r="J5" s="7"/>
      <c r="K5" s="7">
        <v>0</v>
      </c>
      <c r="L5" s="22">
        <f aca="true" t="shared" si="3" ref="L5:L11">K5*146</f>
        <v>0</v>
      </c>
      <c r="M5" s="23">
        <f aca="true" t="shared" si="4" ref="M5:M10">(F5-L5)/12</f>
        <v>48255</v>
      </c>
      <c r="N5" s="24">
        <f aca="true" t="shared" si="5" ref="N5:N10">F5/1752</f>
        <v>330.513698630137</v>
      </c>
      <c r="O5" s="24">
        <f aca="true" t="shared" si="6" ref="O5:O11">N5*1.65</f>
        <v>545.3476027397261</v>
      </c>
      <c r="P5" s="24">
        <f>(F5-(783*146))/1950</f>
        <v>238.32923076923078</v>
      </c>
      <c r="Q5" s="25"/>
    </row>
    <row r="6" spans="1:17" ht="10.5" customHeight="1">
      <c r="A6" s="4" t="s">
        <v>15</v>
      </c>
      <c r="F6" s="15">
        <f>547077+10000+5340+12000+12000+5160</f>
        <v>591577</v>
      </c>
      <c r="G6" s="22">
        <f t="shared" si="0"/>
        <v>63383.25</v>
      </c>
      <c r="H6" s="22">
        <f t="shared" si="1"/>
        <v>0</v>
      </c>
      <c r="I6" s="7">
        <f t="shared" si="2"/>
        <v>49298.083333333336</v>
      </c>
      <c r="J6" s="7"/>
      <c r="K6" s="7">
        <v>0</v>
      </c>
      <c r="L6" s="22">
        <f t="shared" si="3"/>
        <v>0</v>
      </c>
      <c r="M6" s="23">
        <f t="shared" si="4"/>
        <v>49298.083333333336</v>
      </c>
      <c r="N6" s="24">
        <f t="shared" si="5"/>
        <v>337.658105022831</v>
      </c>
      <c r="O6" s="24">
        <f t="shared" si="6"/>
        <v>557.1358732876712</v>
      </c>
      <c r="P6" s="24">
        <f aca="true" t="shared" si="7" ref="P6:P12">(F6-(783*146))/1950</f>
        <v>244.74820512820511</v>
      </c>
      <c r="Q6" s="25"/>
    </row>
    <row r="7" spans="1:17" ht="10.5" customHeight="1">
      <c r="A7" s="4" t="s">
        <v>16</v>
      </c>
      <c r="F7" s="15">
        <f>559593+10000+5340+12000+12000+5160</f>
        <v>604093</v>
      </c>
      <c r="G7" s="22">
        <f t="shared" si="0"/>
        <v>64724.25</v>
      </c>
      <c r="H7" s="22">
        <f t="shared" si="1"/>
        <v>0</v>
      </c>
      <c r="I7" s="7">
        <f t="shared" si="2"/>
        <v>50341.083333333336</v>
      </c>
      <c r="J7" s="7"/>
      <c r="K7" s="7">
        <v>0</v>
      </c>
      <c r="L7" s="22">
        <f t="shared" si="3"/>
        <v>0</v>
      </c>
      <c r="M7" s="23">
        <f t="shared" si="4"/>
        <v>50341.083333333336</v>
      </c>
      <c r="N7" s="24">
        <f t="shared" si="5"/>
        <v>344.8019406392694</v>
      </c>
      <c r="O7" s="24">
        <f t="shared" si="6"/>
        <v>568.9232020547945</v>
      </c>
      <c r="P7" s="24">
        <f t="shared" si="7"/>
        <v>251.16666666666666</v>
      </c>
      <c r="Q7" s="25"/>
    </row>
    <row r="8" spans="1:17" ht="10.5" customHeight="1">
      <c r="A8" s="4" t="s">
        <v>17</v>
      </c>
      <c r="B8" s="20" t="s">
        <v>35</v>
      </c>
      <c r="C8" s="20" t="s">
        <v>28</v>
      </c>
      <c r="D8" s="21" t="s">
        <v>31</v>
      </c>
      <c r="F8" s="15">
        <f>572108+10000+5340+12000+12000+5160</f>
        <v>616608</v>
      </c>
      <c r="G8" s="22">
        <f t="shared" si="0"/>
        <v>66065.14285714296</v>
      </c>
      <c r="H8" s="22">
        <f t="shared" si="1"/>
        <v>0</v>
      </c>
      <c r="I8" s="7">
        <f t="shared" si="2"/>
        <v>51384</v>
      </c>
      <c r="J8" s="7"/>
      <c r="K8" s="7">
        <v>0</v>
      </c>
      <c r="L8" s="22">
        <f t="shared" si="3"/>
        <v>0</v>
      </c>
      <c r="M8" s="23">
        <f t="shared" si="4"/>
        <v>51384</v>
      </c>
      <c r="N8" s="24">
        <f t="shared" si="5"/>
        <v>351.94520547945206</v>
      </c>
      <c r="O8" s="24">
        <f t="shared" si="6"/>
        <v>580.7095890410959</v>
      </c>
      <c r="P8" s="24">
        <f t="shared" si="7"/>
        <v>257.5846153846154</v>
      </c>
      <c r="Q8" s="25"/>
    </row>
    <row r="9" spans="1:17" ht="10.5" customHeight="1">
      <c r="A9" s="4" t="s">
        <v>18</v>
      </c>
      <c r="F9" s="15">
        <f>584625+10000+5340+12000+12000+5160</f>
        <v>629125</v>
      </c>
      <c r="G9" s="22">
        <f t="shared" si="0"/>
        <v>67406.25</v>
      </c>
      <c r="H9" s="22">
        <f t="shared" si="1"/>
        <v>0</v>
      </c>
      <c r="I9" s="7">
        <f t="shared" si="2"/>
        <v>52427.083333333336</v>
      </c>
      <c r="J9" s="7"/>
      <c r="K9" s="7">
        <v>0</v>
      </c>
      <c r="L9" s="22">
        <f t="shared" si="3"/>
        <v>0</v>
      </c>
      <c r="M9" s="23">
        <f t="shared" si="4"/>
        <v>52427.083333333336</v>
      </c>
      <c r="N9" s="24">
        <f t="shared" si="5"/>
        <v>359.0896118721461</v>
      </c>
      <c r="O9" s="24">
        <f t="shared" si="6"/>
        <v>592.497859589041</v>
      </c>
      <c r="P9" s="24">
        <f t="shared" si="7"/>
        <v>264.00358974358977</v>
      </c>
      <c r="Q9" s="25"/>
    </row>
    <row r="10" spans="1:17" ht="10.5" customHeight="1">
      <c r="A10" s="4" t="s">
        <v>19</v>
      </c>
      <c r="F10" s="15">
        <f>601031+10000+5340+12000+12000+5160</f>
        <v>645531</v>
      </c>
      <c r="G10" s="22">
        <f t="shared" si="0"/>
        <v>69164.0357142858</v>
      </c>
      <c r="H10" s="22">
        <f t="shared" si="1"/>
        <v>0</v>
      </c>
      <c r="I10" s="7">
        <f t="shared" si="2"/>
        <v>53794.25</v>
      </c>
      <c r="J10" s="7"/>
      <c r="K10" s="7">
        <v>0</v>
      </c>
      <c r="L10" s="22">
        <f t="shared" si="3"/>
        <v>0</v>
      </c>
      <c r="M10" s="23">
        <f t="shared" si="4"/>
        <v>53794.25</v>
      </c>
      <c r="N10" s="24">
        <f t="shared" si="5"/>
        <v>368.45376712328766</v>
      </c>
      <c r="O10" s="24">
        <f t="shared" si="6"/>
        <v>607.9487157534246</v>
      </c>
      <c r="P10" s="24">
        <f t="shared" si="7"/>
        <v>272.41692307692307</v>
      </c>
      <c r="Q10" s="25"/>
    </row>
    <row r="11" spans="1:17" ht="10.5" customHeight="1">
      <c r="A11" s="4" t="s">
        <v>23</v>
      </c>
      <c r="F11" s="15">
        <f>616879+10000+5340+12000+12000+5160</f>
        <v>661379</v>
      </c>
      <c r="G11" s="22">
        <f t="shared" si="0"/>
        <v>70862.0357142858</v>
      </c>
      <c r="H11" s="22">
        <f>K11*132</f>
        <v>0</v>
      </c>
      <c r="I11" s="7">
        <f t="shared" si="2"/>
        <v>55114.916666666664</v>
      </c>
      <c r="J11" s="7"/>
      <c r="K11" s="7">
        <v>0</v>
      </c>
      <c r="L11" s="22">
        <f t="shared" si="3"/>
        <v>0</v>
      </c>
      <c r="M11" s="23">
        <f>(F11-L11)/12</f>
        <v>55114.916666666664</v>
      </c>
      <c r="N11" s="24">
        <f>F11/1752</f>
        <v>377.4994292237443</v>
      </c>
      <c r="O11" s="24">
        <f t="shared" si="6"/>
        <v>622.8740582191781</v>
      </c>
      <c r="P11" s="24">
        <f t="shared" si="7"/>
        <v>280.54410256410256</v>
      </c>
      <c r="Q11" s="25"/>
    </row>
    <row r="12" spans="1:17" ht="10.5" customHeight="1">
      <c r="A12" s="4" t="s">
        <v>37</v>
      </c>
      <c r="F12" s="15">
        <f>629379+10000+6340+12000+12000+5160</f>
        <v>674879</v>
      </c>
      <c r="G12" s="22">
        <f>F12-(F12/1.12)</f>
        <v>72308.46428571432</v>
      </c>
      <c r="H12" s="22">
        <f>K12*132</f>
        <v>0</v>
      </c>
      <c r="I12" s="7">
        <f>F12/12</f>
        <v>56239.916666666664</v>
      </c>
      <c r="J12" s="7"/>
      <c r="K12" s="7">
        <v>0</v>
      </c>
      <c r="L12" s="22">
        <f>K12*146</f>
        <v>0</v>
      </c>
      <c r="M12" s="23">
        <f>(F12-L12)/12</f>
        <v>56239.916666666664</v>
      </c>
      <c r="N12" s="24">
        <f>F12/1752</f>
        <v>385.20490867579906</v>
      </c>
      <c r="O12" s="24">
        <f>N12*1.65</f>
        <v>635.5880993150685</v>
      </c>
      <c r="P12" s="24">
        <f t="shared" si="7"/>
        <v>287.46717948717946</v>
      </c>
      <c r="Q12" s="25"/>
    </row>
    <row r="13" spans="11:13" ht="10.5" customHeight="1">
      <c r="K13" s="7">
        <v>0</v>
      </c>
      <c r="M13" s="23"/>
    </row>
    <row r="14" ht="10.5" customHeight="1">
      <c r="M14" s="23"/>
    </row>
    <row r="15" ht="10.5" customHeight="1">
      <c r="M15" s="23"/>
    </row>
    <row r="16" ht="10.5" customHeight="1">
      <c r="M16" s="23"/>
    </row>
    <row r="17" ht="10.5" customHeight="1">
      <c r="M17" s="23"/>
    </row>
    <row r="18" ht="10.5" customHeight="1">
      <c r="M18" s="23"/>
    </row>
    <row r="19" ht="10.5" customHeight="1">
      <c r="M19" s="23"/>
    </row>
    <row r="20" ht="10.5" customHeight="1">
      <c r="M20" s="23"/>
    </row>
    <row r="21" ht="10.5" customHeight="1">
      <c r="M21" s="23"/>
    </row>
    <row r="22" ht="10.5" customHeight="1">
      <c r="M22" s="23"/>
    </row>
    <row r="23" ht="10.5" customHeight="1">
      <c r="M23" s="23"/>
    </row>
    <row r="24" spans="11:13" ht="10.5" customHeight="1">
      <c r="K24" s="30"/>
      <c r="M24" s="23"/>
    </row>
    <row r="25" ht="12" customHeight="1"/>
    <row r="26" spans="1:15" s="4" customFormat="1" ht="12" customHeight="1">
      <c r="A26" s="1"/>
      <c r="B26" s="2"/>
      <c r="C26" s="2"/>
      <c r="D26" s="3"/>
      <c r="F26" s="5"/>
      <c r="I26" s="6"/>
      <c r="J26" s="7"/>
      <c r="K26" s="8"/>
      <c r="M26" s="9"/>
      <c r="O26" s="10"/>
    </row>
    <row r="27" spans="1:15" s="4" customFormat="1" ht="12" customHeight="1">
      <c r="A27" s="1"/>
      <c r="B27" s="2"/>
      <c r="C27" s="2"/>
      <c r="D27" s="3"/>
      <c r="F27" s="5"/>
      <c r="I27" s="6"/>
      <c r="J27" s="7"/>
      <c r="K27" s="8"/>
      <c r="M27" s="9"/>
      <c r="O27" s="10"/>
    </row>
    <row r="28" spans="1:13" ht="10.5" customHeight="1">
      <c r="A28" s="9"/>
      <c r="D28" s="26"/>
      <c r="F28" s="15"/>
      <c r="G28" s="22"/>
      <c r="H28" s="22"/>
      <c r="I28" s="7"/>
      <c r="J28" s="7"/>
      <c r="K28" s="7"/>
      <c r="M28" s="23"/>
    </row>
    <row r="29" spans="1:13" ht="10.5" customHeight="1">
      <c r="A29" s="9"/>
      <c r="D29" s="26"/>
      <c r="F29" s="15"/>
      <c r="G29" s="22"/>
      <c r="H29" s="22"/>
      <c r="I29" s="7"/>
      <c r="J29" s="7"/>
      <c r="K29" s="7"/>
      <c r="M29" s="23"/>
    </row>
    <row r="30" spans="1:13" ht="10.5" customHeight="1">
      <c r="A30" s="9"/>
      <c r="F30" s="15"/>
      <c r="G30" s="22"/>
      <c r="H30" s="22"/>
      <c r="I30" s="7"/>
      <c r="J30" s="7"/>
      <c r="K30" s="7"/>
      <c r="M30" s="23"/>
    </row>
    <row r="31" spans="1:13" ht="10.5" customHeight="1">
      <c r="A31" s="9"/>
      <c r="F31" s="15"/>
      <c r="G31" s="22"/>
      <c r="H31" s="22"/>
      <c r="I31" s="7"/>
      <c r="J31" s="7"/>
      <c r="K31" s="7"/>
      <c r="M31" s="23"/>
    </row>
    <row r="32" spans="1:13" ht="10.5" customHeight="1">
      <c r="A32" s="9"/>
      <c r="F32" s="15"/>
      <c r="G32" s="22"/>
      <c r="H32" s="22"/>
      <c r="I32" s="7"/>
      <c r="J32" s="7"/>
      <c r="K32" s="7"/>
      <c r="M32" s="23"/>
    </row>
    <row r="33" spans="1:13" ht="10.5" customHeight="1">
      <c r="A33" s="9"/>
      <c r="F33" s="15"/>
      <c r="G33" s="22"/>
      <c r="H33" s="22"/>
      <c r="I33" s="7"/>
      <c r="J33" s="7"/>
      <c r="K33" s="7"/>
      <c r="M33" s="23"/>
    </row>
    <row r="34" spans="1:13" ht="10.5" customHeight="1">
      <c r="A34" s="9"/>
      <c r="F34" s="15"/>
      <c r="G34" s="22"/>
      <c r="H34" s="22"/>
      <c r="I34" s="7"/>
      <c r="J34" s="7"/>
      <c r="K34" s="7"/>
      <c r="M34" s="23"/>
    </row>
    <row r="35" spans="1:13" ht="10.5" customHeight="1">
      <c r="A35" s="9"/>
      <c r="F35" s="15"/>
      <c r="G35" s="22"/>
      <c r="H35" s="22"/>
      <c r="I35" s="7"/>
      <c r="J35" s="7"/>
      <c r="K35" s="7"/>
      <c r="M35" s="23"/>
    </row>
    <row r="36" spans="1:13" ht="10.5" customHeight="1">
      <c r="A36" s="9"/>
      <c r="F36" s="15"/>
      <c r="G36" s="22"/>
      <c r="H36" s="22"/>
      <c r="I36" s="7"/>
      <c r="J36" s="7"/>
      <c r="K36" s="7"/>
      <c r="M36" s="23"/>
    </row>
    <row r="37" spans="1:13" ht="10.5" customHeight="1">
      <c r="A37" s="9"/>
      <c r="F37" s="15"/>
      <c r="G37" s="22"/>
      <c r="H37" s="22"/>
      <c r="I37" s="7"/>
      <c r="J37" s="7"/>
      <c r="K37" s="7"/>
      <c r="M37" s="23"/>
    </row>
    <row r="38" spans="1:13" ht="10.5" customHeight="1">
      <c r="A38" s="9"/>
      <c r="F38" s="15"/>
      <c r="G38" s="22"/>
      <c r="H38" s="22"/>
      <c r="I38" s="7"/>
      <c r="J38" s="7"/>
      <c r="K38" s="7"/>
      <c r="M38" s="23"/>
    </row>
    <row r="39" spans="1:15" ht="10.5" customHeight="1">
      <c r="A39" s="9"/>
      <c r="F39" s="4"/>
      <c r="G39" s="22"/>
      <c r="H39" s="22"/>
      <c r="I39" s="7"/>
      <c r="J39" s="31"/>
      <c r="K39" s="31"/>
      <c r="L39" s="32"/>
      <c r="M39" s="33"/>
      <c r="N39" s="34"/>
      <c r="O39" s="35"/>
    </row>
    <row r="40" spans="1:13" ht="10.5" customHeight="1">
      <c r="A40" s="36"/>
      <c r="F40" s="15"/>
      <c r="G40" s="22"/>
      <c r="H40" s="22"/>
      <c r="I40" s="7"/>
      <c r="J40" s="7"/>
      <c r="K40" s="7"/>
      <c r="M40" s="23"/>
    </row>
    <row r="41" spans="1:13" ht="10.5" customHeight="1">
      <c r="A41" s="36"/>
      <c r="F41" s="15"/>
      <c r="G41" s="22"/>
      <c r="H41" s="22"/>
      <c r="I41" s="7"/>
      <c r="J41" s="7"/>
      <c r="K41" s="7"/>
      <c r="M41" s="23"/>
    </row>
    <row r="42" spans="1:13" ht="10.5" customHeight="1">
      <c r="A42" s="36"/>
      <c r="F42" s="15"/>
      <c r="G42" s="22"/>
      <c r="H42" s="22"/>
      <c r="I42" s="7"/>
      <c r="J42" s="7"/>
      <c r="K42" s="7"/>
      <c r="M42" s="23"/>
    </row>
    <row r="43" spans="1:13" ht="10.5" customHeight="1">
      <c r="A43" s="36"/>
      <c r="F43" s="15"/>
      <c r="G43" s="22"/>
      <c r="H43" s="22"/>
      <c r="I43" s="7"/>
      <c r="J43" s="7"/>
      <c r="K43" s="7"/>
      <c r="M43" s="23"/>
    </row>
    <row r="44" spans="6:13" ht="10.5" customHeight="1">
      <c r="F44" s="15"/>
      <c r="G44" s="22"/>
      <c r="H44" s="22"/>
      <c r="I44" s="7"/>
      <c r="J44" s="7"/>
      <c r="K44" s="7"/>
      <c r="M44" s="23"/>
    </row>
    <row r="45" spans="6:13" ht="10.5" customHeight="1">
      <c r="F45" s="15"/>
      <c r="G45" s="22"/>
      <c r="H45" s="22"/>
      <c r="I45" s="7"/>
      <c r="J45" s="7"/>
      <c r="K45" s="7"/>
      <c r="M45" s="23"/>
    </row>
    <row r="46" spans="6:13" ht="10.5" customHeight="1">
      <c r="F46" s="15"/>
      <c r="G46" s="22"/>
      <c r="H46" s="22"/>
      <c r="I46" s="7"/>
      <c r="J46" s="7"/>
      <c r="K46" s="7"/>
      <c r="M46" s="23"/>
    </row>
    <row r="47" spans="6:13" ht="10.5" customHeight="1">
      <c r="F47" s="15"/>
      <c r="G47" s="22"/>
      <c r="H47" s="22"/>
      <c r="I47" s="7"/>
      <c r="J47" s="7"/>
      <c r="K47" s="7"/>
      <c r="M47" s="23"/>
    </row>
    <row r="48" spans="6:13" ht="10.5" customHeight="1">
      <c r="F48" s="15"/>
      <c r="G48" s="22"/>
      <c r="H48" s="22"/>
      <c r="I48" s="7"/>
      <c r="J48" s="7"/>
      <c r="K48" s="7"/>
      <c r="M48" s="23"/>
    </row>
    <row r="49" spans="6:13" ht="10.5" customHeight="1">
      <c r="F49" s="15"/>
      <c r="G49" s="22"/>
      <c r="H49" s="22"/>
      <c r="I49" s="7"/>
      <c r="J49" s="7"/>
      <c r="K49" s="7"/>
      <c r="M49" s="23"/>
    </row>
    <row r="50" spans="6:13" ht="10.5" customHeight="1">
      <c r="F50" s="15"/>
      <c r="G50" s="22"/>
      <c r="H50" s="22"/>
      <c r="I50" s="7"/>
      <c r="J50" s="7"/>
      <c r="K50" s="7"/>
      <c r="M50" s="23"/>
    </row>
    <row r="51" spans="6:13" ht="10.5" customHeight="1">
      <c r="F51" s="15"/>
      <c r="G51" s="22"/>
      <c r="H51" s="22"/>
      <c r="I51" s="7"/>
      <c r="J51" s="7"/>
      <c r="K51" s="7"/>
      <c r="M51" s="23"/>
    </row>
    <row r="52" spans="2:13" ht="10.5" customHeight="1">
      <c r="B52" s="20"/>
      <c r="C52" s="20"/>
      <c r="F52" s="15"/>
      <c r="G52" s="22"/>
      <c r="H52" s="22"/>
      <c r="I52" s="7"/>
      <c r="K52" s="7"/>
      <c r="M52" s="23"/>
    </row>
    <row r="53" spans="2:13" ht="10.5" customHeight="1">
      <c r="B53" s="20"/>
      <c r="C53" s="20"/>
      <c r="F53" s="15"/>
      <c r="G53" s="22"/>
      <c r="H53" s="22"/>
      <c r="I53" s="7"/>
      <c r="K53" s="7"/>
      <c r="M53" s="23"/>
    </row>
    <row r="54" spans="2:13" ht="10.5" customHeight="1">
      <c r="B54" s="20"/>
      <c r="C54" s="20"/>
      <c r="F54" s="15"/>
      <c r="G54" s="22"/>
      <c r="H54" s="22"/>
      <c r="I54" s="7"/>
      <c r="K54" s="7"/>
      <c r="M54" s="23"/>
    </row>
    <row r="55" spans="6:13" ht="10.5" customHeight="1">
      <c r="F55" s="15"/>
      <c r="G55" s="22"/>
      <c r="H55" s="22"/>
      <c r="I55" s="7"/>
      <c r="K55" s="7"/>
      <c r="M55" s="23"/>
    </row>
    <row r="56" spans="6:13" ht="10.5" customHeight="1">
      <c r="F56" s="15"/>
      <c r="G56" s="22"/>
      <c r="H56" s="22"/>
      <c r="I56" s="7"/>
      <c r="K56" s="7"/>
      <c r="M56" s="23"/>
    </row>
    <row r="57" spans="6:13" ht="10.5" customHeight="1">
      <c r="F57" s="15"/>
      <c r="G57" s="22"/>
      <c r="H57" s="22"/>
      <c r="I57" s="7"/>
      <c r="K57" s="7"/>
      <c r="M57" s="23"/>
    </row>
    <row r="58" spans="6:13" ht="10.5" customHeight="1">
      <c r="F58" s="15"/>
      <c r="G58" s="22"/>
      <c r="H58" s="22"/>
      <c r="I58" s="7"/>
      <c r="K58" s="7"/>
      <c r="M58" s="23"/>
    </row>
    <row r="59" spans="6:13" ht="10.5" customHeight="1">
      <c r="F59" s="15"/>
      <c r="G59" s="22"/>
      <c r="H59" s="22"/>
      <c r="I59" s="7"/>
      <c r="K59" s="7"/>
      <c r="M59" s="23"/>
    </row>
    <row r="60" spans="6:13" ht="10.5" customHeight="1">
      <c r="F60" s="15"/>
      <c r="G60" s="22"/>
      <c r="H60" s="22"/>
      <c r="I60" s="7"/>
      <c r="K60" s="7"/>
      <c r="M60" s="23"/>
    </row>
    <row r="61" spans="6:13" ht="10.5" customHeight="1">
      <c r="F61" s="15"/>
      <c r="G61" s="22"/>
      <c r="H61" s="22"/>
      <c r="I61" s="7"/>
      <c r="K61" s="7"/>
      <c r="M61" s="23"/>
    </row>
    <row r="62" spans="6:13" ht="10.5" customHeight="1">
      <c r="F62" s="15"/>
      <c r="G62" s="22"/>
      <c r="H62" s="22"/>
      <c r="I62" s="7"/>
      <c r="K62" s="7"/>
      <c r="M62" s="23"/>
    </row>
    <row r="63" spans="7:13" ht="10.5" customHeight="1">
      <c r="G63" s="22"/>
      <c r="H63" s="22"/>
      <c r="M63" s="23"/>
    </row>
    <row r="64" ht="10.5" customHeight="1">
      <c r="M64" s="23"/>
    </row>
    <row r="65" spans="11:13" ht="10.5" customHeight="1">
      <c r="K65" s="7"/>
      <c r="M65" s="23"/>
    </row>
    <row r="66" ht="10.5" customHeight="1">
      <c r="M66" s="23"/>
    </row>
    <row r="67" spans="11:13" ht="10.5" customHeight="1">
      <c r="K67" s="30"/>
      <c r="M67" s="2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Halliburton Brown &amp; Root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bbrqa30</dc:creator>
  <cp:keywords/>
  <dc:description/>
  <cp:lastModifiedBy>Gro Espås</cp:lastModifiedBy>
  <cp:lastPrinted>2022-08-09T12:17:52Z</cp:lastPrinted>
  <dcterms:created xsi:type="dcterms:W3CDTF">1999-11-04T08:55:17Z</dcterms:created>
  <dcterms:modified xsi:type="dcterms:W3CDTF">2022-08-09T12:18:18Z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bad6f6f2-a951-4904-b531-92e1207fc7a5_Enabled">
    <vt:lpwstr>true</vt:lpwstr>
  </property>
  <property fmtid="{D5CDD505-2E9C-101B-9397-08002B2CF9AE}" pid="4" name="MSIP_Label_bad6f6f2-a951-4904-b531-92e1207fc7a5_SetDate">
    <vt:lpwstr>2021-06-03T13:45:41Z</vt:lpwstr>
  </property>
  <property fmtid="{D5CDD505-2E9C-101B-9397-08002B2CF9AE}" pid="5" name="MSIP_Label_bad6f6f2-a951-4904-b531-92e1207fc7a5_Method">
    <vt:lpwstr>Standard</vt:lpwstr>
  </property>
  <property fmtid="{D5CDD505-2E9C-101B-9397-08002B2CF9AE}" pid="6" name="MSIP_Label_bad6f6f2-a951-4904-b531-92e1207fc7a5_Name">
    <vt:lpwstr>No Restrictions - Internal</vt:lpwstr>
  </property>
  <property fmtid="{D5CDD505-2E9C-101B-9397-08002B2CF9AE}" pid="7" name="MSIP_Label_bad6f6f2-a951-4904-b531-92e1207fc7a5_SiteId">
    <vt:lpwstr>b7be7686-6f97-4db7-9081-a23cf09a96b5</vt:lpwstr>
  </property>
  <property fmtid="{D5CDD505-2E9C-101B-9397-08002B2CF9AE}" pid="8" name="MSIP_Label_bad6f6f2-a951-4904-b531-92e1207fc7a5_ActionId">
    <vt:lpwstr>1863ec32-1ca6-4f37-9852-b02c455b5742</vt:lpwstr>
  </property>
  <property fmtid="{D5CDD505-2E9C-101B-9397-08002B2CF9AE}" pid="9" name="MSIP_Label_bad6f6f2-a951-4904-b531-92e1207fc7a5_ContentBits">
    <vt:lpwstr>0</vt:lpwstr>
  </property>
</Properties>
</file>